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5600" windowHeight="15480" activeTab="1"/>
  </bookViews>
  <sheets>
    <sheet name="RECAPITULATIF" sheetId="3" r:id="rId1"/>
    <sheet name="JOUR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6" i="1" l="1"/>
  <c r="E22" i="1"/>
  <c r="E4" i="1"/>
  <c r="I140" i="1"/>
  <c r="I141" i="1"/>
  <c r="I142" i="1"/>
  <c r="I143" i="1"/>
  <c r="I144" i="1"/>
  <c r="I145" i="1"/>
  <c r="K145" i="1"/>
  <c r="H135" i="1"/>
  <c r="I135" i="1"/>
  <c r="H136" i="1"/>
  <c r="I136" i="1"/>
  <c r="H137" i="1"/>
  <c r="I137" i="1"/>
  <c r="I138" i="1"/>
  <c r="I139" i="1"/>
  <c r="K139" i="1"/>
  <c r="I130" i="1"/>
  <c r="G131" i="1"/>
  <c r="I131" i="1"/>
  <c r="H132" i="1"/>
  <c r="I132" i="1"/>
  <c r="H133" i="1"/>
  <c r="I133" i="1"/>
  <c r="K134" i="1"/>
  <c r="F125" i="1"/>
  <c r="G125" i="1"/>
  <c r="H125" i="1"/>
  <c r="I125" i="1"/>
  <c r="G126" i="1"/>
  <c r="I126" i="1"/>
  <c r="F127" i="1"/>
  <c r="I127" i="1"/>
  <c r="F128" i="1"/>
  <c r="G128" i="1"/>
  <c r="H128" i="1"/>
  <c r="I128" i="1"/>
  <c r="G129" i="1"/>
  <c r="H129" i="1"/>
  <c r="I129" i="1"/>
  <c r="K129" i="1"/>
  <c r="G123" i="1"/>
  <c r="H123" i="1"/>
  <c r="I123" i="1"/>
  <c r="K124" i="1"/>
  <c r="E127" i="1"/>
  <c r="E145" i="1"/>
  <c r="E144" i="1"/>
  <c r="E143" i="1"/>
  <c r="E142" i="1"/>
  <c r="E141" i="1"/>
  <c r="E140" i="1"/>
  <c r="E139" i="1"/>
  <c r="E138" i="1"/>
  <c r="C137" i="1"/>
  <c r="E137" i="1"/>
  <c r="E136" i="1"/>
  <c r="E135" i="1"/>
  <c r="E134" i="1"/>
  <c r="C133" i="1"/>
  <c r="E133" i="1"/>
  <c r="E132" i="1"/>
  <c r="E131" i="1"/>
  <c r="E130" i="1"/>
  <c r="E129" i="1"/>
  <c r="E128" i="1"/>
  <c r="E126" i="1"/>
  <c r="C125" i="1"/>
  <c r="E125" i="1"/>
  <c r="E124" i="1"/>
  <c r="E123" i="1"/>
  <c r="H97" i="1"/>
  <c r="I97" i="1"/>
  <c r="F98" i="1"/>
  <c r="I98" i="1"/>
  <c r="F99" i="1"/>
  <c r="G99" i="1"/>
  <c r="H99" i="1"/>
  <c r="I99" i="1"/>
  <c r="I100" i="1"/>
  <c r="K100" i="1"/>
  <c r="I101" i="1"/>
  <c r="I102" i="1"/>
  <c r="I103" i="1"/>
  <c r="I104" i="1"/>
  <c r="I105" i="1"/>
  <c r="I106" i="1"/>
  <c r="K106" i="1"/>
  <c r="F107" i="1"/>
  <c r="H107" i="1"/>
  <c r="I107" i="1"/>
  <c r="G108" i="1"/>
  <c r="H108" i="1"/>
  <c r="I108" i="1"/>
  <c r="F109" i="1"/>
  <c r="H109" i="1"/>
  <c r="I109" i="1"/>
  <c r="F110" i="1"/>
  <c r="G110" i="1"/>
  <c r="H110" i="1"/>
  <c r="I110" i="1"/>
  <c r="G111" i="1"/>
  <c r="I111" i="1"/>
  <c r="K111" i="1"/>
  <c r="G112" i="1"/>
  <c r="I112" i="1"/>
  <c r="F113" i="1"/>
  <c r="H113" i="1"/>
  <c r="I113" i="1"/>
  <c r="I114" i="1"/>
  <c r="G115" i="1"/>
  <c r="H115" i="1"/>
  <c r="I115" i="1"/>
  <c r="H116" i="1"/>
  <c r="I116" i="1"/>
  <c r="K116" i="1"/>
  <c r="F117" i="1"/>
  <c r="G117" i="1"/>
  <c r="I117" i="1"/>
  <c r="F118" i="1"/>
  <c r="G118" i="1"/>
  <c r="I118" i="1"/>
  <c r="I119" i="1"/>
  <c r="K119" i="1"/>
  <c r="K120" i="1"/>
  <c r="E119" i="1"/>
  <c r="E118" i="1"/>
  <c r="E117" i="1"/>
  <c r="E116" i="1"/>
  <c r="E115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195" i="1"/>
  <c r="I195" i="1"/>
  <c r="J195" i="1"/>
  <c r="E194" i="1"/>
  <c r="I194" i="1"/>
  <c r="J194" i="1"/>
  <c r="E193" i="1"/>
  <c r="I193" i="1"/>
  <c r="J193" i="1"/>
  <c r="E192" i="1"/>
  <c r="I192" i="1"/>
  <c r="J192" i="1"/>
  <c r="E191" i="1"/>
  <c r="I191" i="1"/>
  <c r="J191" i="1"/>
  <c r="E190" i="1"/>
  <c r="I190" i="1"/>
  <c r="J190" i="1"/>
  <c r="E189" i="1"/>
  <c r="I189" i="1"/>
  <c r="J189" i="1"/>
  <c r="E188" i="1"/>
  <c r="I188" i="1"/>
  <c r="J188" i="1"/>
  <c r="E187" i="1"/>
  <c r="I187" i="1"/>
  <c r="J187" i="1"/>
  <c r="E186" i="1"/>
  <c r="I186" i="1"/>
  <c r="J186" i="1"/>
  <c r="E185" i="1"/>
  <c r="I185" i="1"/>
  <c r="J185" i="1"/>
  <c r="E184" i="1"/>
  <c r="I184" i="1"/>
  <c r="J184" i="1"/>
  <c r="E183" i="1"/>
  <c r="I183" i="1"/>
  <c r="J183" i="1"/>
  <c r="E182" i="1"/>
  <c r="I182" i="1"/>
  <c r="J182" i="1"/>
  <c r="E181" i="1"/>
  <c r="I181" i="1"/>
  <c r="J181" i="1"/>
  <c r="E180" i="1"/>
  <c r="I180" i="1"/>
  <c r="J180" i="1"/>
  <c r="E179" i="1"/>
  <c r="I179" i="1"/>
  <c r="J179" i="1"/>
  <c r="E178" i="1"/>
  <c r="I178" i="1"/>
  <c r="J178" i="1"/>
  <c r="E177" i="1"/>
  <c r="I177" i="1"/>
  <c r="J177" i="1"/>
  <c r="E176" i="1"/>
  <c r="I176" i="1"/>
  <c r="J176" i="1"/>
  <c r="E175" i="1"/>
  <c r="I175" i="1"/>
  <c r="J175" i="1"/>
  <c r="E174" i="1"/>
  <c r="J174" i="1"/>
  <c r="E173" i="1"/>
  <c r="I173" i="1"/>
  <c r="J173" i="1"/>
  <c r="E169" i="1"/>
  <c r="I169" i="1"/>
  <c r="J169" i="1"/>
  <c r="E168" i="1"/>
  <c r="I168" i="1"/>
  <c r="J168" i="1"/>
  <c r="E167" i="1"/>
  <c r="I167" i="1"/>
  <c r="J167" i="1"/>
  <c r="E166" i="1"/>
  <c r="I166" i="1"/>
  <c r="J166" i="1"/>
  <c r="E165" i="1"/>
  <c r="I165" i="1"/>
  <c r="J165" i="1"/>
  <c r="E164" i="1"/>
  <c r="I164" i="1"/>
  <c r="J164" i="1"/>
  <c r="E163" i="1"/>
  <c r="I163" i="1"/>
  <c r="J163" i="1"/>
  <c r="E162" i="1"/>
  <c r="I162" i="1"/>
  <c r="J162" i="1"/>
  <c r="E161" i="1"/>
  <c r="I161" i="1"/>
  <c r="J161" i="1"/>
  <c r="E160" i="1"/>
  <c r="I160" i="1"/>
  <c r="J160" i="1"/>
  <c r="E159" i="1"/>
  <c r="I159" i="1"/>
  <c r="J159" i="1"/>
  <c r="E158" i="1"/>
  <c r="I158" i="1"/>
  <c r="J158" i="1"/>
  <c r="E157" i="1"/>
  <c r="I157" i="1"/>
  <c r="J157" i="1"/>
  <c r="E156" i="1"/>
  <c r="I156" i="1"/>
  <c r="J156" i="1"/>
  <c r="E155" i="1"/>
  <c r="I155" i="1"/>
  <c r="J155" i="1"/>
  <c r="E154" i="1"/>
  <c r="I154" i="1"/>
  <c r="J154" i="1"/>
  <c r="E153" i="1"/>
  <c r="I153" i="1"/>
  <c r="J153" i="1"/>
  <c r="E152" i="1"/>
  <c r="I152" i="1"/>
  <c r="J152" i="1"/>
  <c r="E151" i="1"/>
  <c r="I151" i="1"/>
  <c r="J151" i="1"/>
  <c r="E150" i="1"/>
  <c r="I150" i="1"/>
  <c r="J150" i="1"/>
  <c r="E149" i="1"/>
  <c r="I149" i="1"/>
  <c r="J149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19" i="1"/>
  <c r="J118" i="1"/>
  <c r="J117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F93" i="1"/>
  <c r="H92" i="1"/>
  <c r="F89" i="1"/>
  <c r="F83" i="1"/>
  <c r="I83" i="1"/>
  <c r="F84" i="1"/>
  <c r="I84" i="1"/>
  <c r="F85" i="1"/>
  <c r="I85" i="1"/>
  <c r="H86" i="1"/>
  <c r="I86" i="1"/>
  <c r="I87" i="1"/>
  <c r="K87" i="1"/>
  <c r="E83" i="1"/>
  <c r="J83" i="1"/>
  <c r="G93" i="1"/>
  <c r="H93" i="1"/>
  <c r="I93" i="1"/>
  <c r="K93" i="1"/>
  <c r="F88" i="1"/>
  <c r="H88" i="1"/>
  <c r="I88" i="1"/>
  <c r="G89" i="1"/>
  <c r="H89" i="1"/>
  <c r="I89" i="1"/>
  <c r="H90" i="1"/>
  <c r="I90" i="1"/>
  <c r="G91" i="1"/>
  <c r="H91" i="1"/>
  <c r="I91" i="1"/>
  <c r="I92" i="1"/>
  <c r="K92" i="1"/>
  <c r="G82" i="1"/>
  <c r="H81" i="1"/>
  <c r="G81" i="1"/>
  <c r="D81" i="1"/>
  <c r="F80" i="1"/>
  <c r="H79" i="1"/>
  <c r="G79" i="1"/>
  <c r="I82" i="1"/>
  <c r="I81" i="1"/>
  <c r="I80" i="1"/>
  <c r="I79" i="1"/>
  <c r="F78" i="1"/>
  <c r="H78" i="1"/>
  <c r="I78" i="1"/>
  <c r="E82" i="1"/>
  <c r="E81" i="1"/>
  <c r="E80" i="1"/>
  <c r="E79" i="1"/>
  <c r="D78" i="1"/>
  <c r="E78" i="1"/>
  <c r="F76" i="1"/>
  <c r="E93" i="1"/>
  <c r="J93" i="1"/>
  <c r="E92" i="1"/>
  <c r="J92" i="1"/>
  <c r="E91" i="1"/>
  <c r="J91" i="1"/>
  <c r="E90" i="1"/>
  <c r="J90" i="1"/>
  <c r="E89" i="1"/>
  <c r="J89" i="1"/>
  <c r="C88" i="1"/>
  <c r="E88" i="1"/>
  <c r="J88" i="1"/>
  <c r="G76" i="1"/>
  <c r="H76" i="1"/>
  <c r="I76" i="1"/>
  <c r="C76" i="1"/>
  <c r="E76" i="1"/>
  <c r="J76" i="1"/>
  <c r="J78" i="1"/>
  <c r="J79" i="1"/>
  <c r="J80" i="1"/>
  <c r="J81" i="1"/>
  <c r="J82" i="1"/>
  <c r="E73" i="1"/>
  <c r="F73" i="1"/>
  <c r="H73" i="1"/>
  <c r="I73" i="1"/>
  <c r="J73" i="1"/>
  <c r="F74" i="1"/>
  <c r="G74" i="1"/>
  <c r="H74" i="1"/>
  <c r="I74" i="1"/>
  <c r="D74" i="1"/>
  <c r="C74" i="1"/>
  <c r="E74" i="1"/>
  <c r="J74" i="1"/>
  <c r="E75" i="1"/>
  <c r="G75" i="1"/>
  <c r="I75" i="1"/>
  <c r="J75" i="1"/>
  <c r="E77" i="1"/>
  <c r="I77" i="1"/>
  <c r="J77" i="1"/>
  <c r="E84" i="1"/>
  <c r="J84" i="1"/>
  <c r="E85" i="1"/>
  <c r="J85" i="1"/>
  <c r="C86" i="1"/>
  <c r="E86" i="1"/>
  <c r="J86" i="1"/>
  <c r="E87" i="1"/>
  <c r="J87" i="1"/>
  <c r="J94" i="1"/>
  <c r="K77" i="1"/>
  <c r="K82" i="1"/>
  <c r="K94" i="1"/>
  <c r="C67" i="1"/>
  <c r="E67" i="1"/>
  <c r="F67" i="1"/>
  <c r="I67" i="1"/>
  <c r="J67" i="1"/>
  <c r="E68" i="1"/>
  <c r="F68" i="1"/>
  <c r="G68" i="1"/>
  <c r="H68" i="1"/>
  <c r="I68" i="1"/>
  <c r="J68" i="1"/>
  <c r="C69" i="1"/>
  <c r="E69" i="1"/>
  <c r="F69" i="1"/>
  <c r="H69" i="1"/>
  <c r="I69" i="1"/>
  <c r="J69" i="1"/>
  <c r="E47" i="1"/>
  <c r="E48" i="1"/>
  <c r="E49" i="1"/>
  <c r="C50" i="1"/>
  <c r="E50" i="1"/>
  <c r="E51" i="1"/>
  <c r="E52" i="1"/>
  <c r="E53" i="1"/>
  <c r="E54" i="1"/>
  <c r="E55" i="1"/>
  <c r="E56" i="1"/>
  <c r="E57" i="1"/>
  <c r="E58" i="1"/>
  <c r="E59" i="1"/>
  <c r="E60" i="1"/>
  <c r="G61" i="1"/>
  <c r="H61" i="1"/>
  <c r="I61" i="1"/>
  <c r="C61" i="1"/>
  <c r="E61" i="1"/>
  <c r="E62" i="1"/>
  <c r="G63" i="1"/>
  <c r="H63" i="1"/>
  <c r="I63" i="1"/>
  <c r="C63" i="1"/>
  <c r="E63" i="1"/>
  <c r="E64" i="1"/>
  <c r="E65" i="1"/>
  <c r="E66" i="1"/>
  <c r="E70" i="1"/>
  <c r="I47" i="1"/>
  <c r="I48" i="1"/>
  <c r="I49" i="1"/>
  <c r="G50" i="1"/>
  <c r="H50" i="1"/>
  <c r="I50" i="1"/>
  <c r="I51" i="1"/>
  <c r="F52" i="1"/>
  <c r="G52" i="1"/>
  <c r="I52" i="1"/>
  <c r="G53" i="1"/>
  <c r="H53" i="1"/>
  <c r="I53" i="1"/>
  <c r="G54" i="1"/>
  <c r="H54" i="1"/>
  <c r="I54" i="1"/>
  <c r="F55" i="1"/>
  <c r="I55" i="1"/>
  <c r="F57" i="1"/>
  <c r="I57" i="1"/>
  <c r="F58" i="1"/>
  <c r="H58" i="1"/>
  <c r="I58" i="1"/>
  <c r="G59" i="1"/>
  <c r="H59" i="1"/>
  <c r="I59" i="1"/>
  <c r="F60" i="1"/>
  <c r="H60" i="1"/>
  <c r="I60" i="1"/>
  <c r="G62" i="1"/>
  <c r="I62" i="1"/>
  <c r="G64" i="1"/>
  <c r="H64" i="1"/>
  <c r="I64" i="1"/>
  <c r="G65" i="1"/>
  <c r="H65" i="1"/>
  <c r="I65" i="1"/>
  <c r="G66" i="1"/>
  <c r="H66" i="1"/>
  <c r="I66" i="1"/>
  <c r="I70" i="1"/>
  <c r="J70" i="1"/>
  <c r="E8" i="1"/>
  <c r="F41" i="1"/>
  <c r="C41" i="1"/>
  <c r="F39" i="1"/>
  <c r="C39" i="1"/>
  <c r="F16" i="1"/>
  <c r="C16" i="1"/>
  <c r="F11" i="1"/>
  <c r="C11" i="1"/>
  <c r="F24" i="1"/>
  <c r="C24" i="1"/>
  <c r="F34" i="1"/>
  <c r="C34" i="1"/>
  <c r="C170" i="1"/>
  <c r="E146" i="1"/>
  <c r="D146" i="1"/>
  <c r="D70" i="1"/>
  <c r="C19" i="1"/>
  <c r="C9" i="3"/>
  <c r="H196" i="1"/>
  <c r="H10" i="3"/>
  <c r="G196" i="1"/>
  <c r="G10" i="3"/>
  <c r="F196" i="1"/>
  <c r="F10" i="3"/>
  <c r="D196" i="1"/>
  <c r="D10" i="3"/>
  <c r="C196" i="1"/>
  <c r="C10" i="3"/>
  <c r="H170" i="1"/>
  <c r="H9" i="3"/>
  <c r="G170" i="1"/>
  <c r="G9" i="3"/>
  <c r="F170" i="1"/>
  <c r="F9" i="3"/>
  <c r="D170" i="1"/>
  <c r="D9" i="3"/>
  <c r="D8" i="3"/>
  <c r="D5" i="3"/>
  <c r="E196" i="1"/>
  <c r="K158" i="1"/>
  <c r="I170" i="1"/>
  <c r="E170" i="1"/>
  <c r="B196" i="1"/>
  <c r="B170" i="1"/>
  <c r="J146" i="1"/>
  <c r="B146" i="1"/>
  <c r="K195" i="1"/>
  <c r="K193" i="1"/>
  <c r="K192" i="1"/>
  <c r="K191" i="1"/>
  <c r="K190" i="1"/>
  <c r="K186" i="1"/>
  <c r="K185" i="1"/>
  <c r="K183" i="1"/>
  <c r="K182" i="1"/>
  <c r="K181" i="1"/>
  <c r="K180" i="1"/>
  <c r="K176" i="1"/>
  <c r="K169" i="1"/>
  <c r="K168" i="1"/>
  <c r="K166" i="1"/>
  <c r="K163" i="1"/>
  <c r="K162" i="1"/>
  <c r="K161" i="1"/>
  <c r="K159" i="1"/>
  <c r="K157" i="1"/>
  <c r="K156" i="1"/>
  <c r="K150" i="1"/>
  <c r="B120" i="1"/>
  <c r="H146" i="1"/>
  <c r="H8" i="3"/>
  <c r="G120" i="1"/>
  <c r="G7" i="3"/>
  <c r="I120" i="1"/>
  <c r="D97" i="1"/>
  <c r="D120" i="1"/>
  <c r="D7" i="3"/>
  <c r="K170" i="1"/>
  <c r="J170" i="1"/>
  <c r="I196" i="1"/>
  <c r="K196" i="1"/>
  <c r="F120" i="1"/>
  <c r="F7" i="3"/>
  <c r="H120" i="1"/>
  <c r="H7" i="3"/>
  <c r="F146" i="1"/>
  <c r="F8" i="3"/>
  <c r="G146" i="1"/>
  <c r="G8" i="3"/>
  <c r="I146" i="1"/>
  <c r="K153" i="1"/>
  <c r="K187" i="1"/>
  <c r="K188" i="1"/>
  <c r="K164" i="1"/>
  <c r="K167" i="1"/>
  <c r="C97" i="1"/>
  <c r="K146" i="1"/>
  <c r="C146" i="1"/>
  <c r="C8" i="3"/>
  <c r="J196" i="1"/>
  <c r="I7" i="3"/>
  <c r="I8" i="3"/>
  <c r="I9" i="3"/>
  <c r="I10" i="3"/>
  <c r="E8" i="3"/>
  <c r="J8" i="3"/>
  <c r="E9" i="3"/>
  <c r="J9" i="3"/>
  <c r="E10" i="3"/>
  <c r="J10" i="3"/>
  <c r="D42" i="1"/>
  <c r="H42" i="1"/>
  <c r="B44" i="1"/>
  <c r="B19" i="1"/>
  <c r="C36" i="1"/>
  <c r="F33" i="1"/>
  <c r="K10" i="3"/>
  <c r="L10" i="3"/>
  <c r="K9" i="3"/>
  <c r="L9" i="3"/>
  <c r="K8" i="3"/>
  <c r="L8" i="3"/>
  <c r="D26" i="1"/>
  <c r="C25" i="1"/>
  <c r="F25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1" i="1"/>
  <c r="E43" i="1"/>
  <c r="E18" i="1"/>
  <c r="E17" i="1"/>
  <c r="E16" i="1"/>
  <c r="E15" i="1"/>
  <c r="E14" i="1"/>
  <c r="C44" i="1"/>
  <c r="E13" i="1"/>
  <c r="E12" i="1"/>
  <c r="E10" i="1"/>
  <c r="E9" i="1"/>
  <c r="E7" i="1"/>
  <c r="F7" i="1"/>
  <c r="H7" i="1"/>
  <c r="E5" i="1"/>
  <c r="G11" i="1"/>
  <c r="E11" i="1"/>
  <c r="I4" i="1"/>
  <c r="D94" i="1"/>
  <c r="D6" i="3"/>
  <c r="G94" i="1"/>
  <c r="G6" i="3"/>
  <c r="H94" i="1"/>
  <c r="H6" i="3"/>
  <c r="F94" i="1"/>
  <c r="F6" i="3"/>
  <c r="I6" i="3"/>
  <c r="B94" i="1"/>
  <c r="F70" i="1"/>
  <c r="F5" i="3"/>
  <c r="H70" i="1"/>
  <c r="H5" i="3"/>
  <c r="G70" i="1"/>
  <c r="G5" i="3"/>
  <c r="B70" i="1"/>
  <c r="J66" i="1"/>
  <c r="J57" i="1"/>
  <c r="J6" i="1"/>
  <c r="I36" i="1"/>
  <c r="J36" i="1"/>
  <c r="I5" i="3"/>
  <c r="C70" i="1"/>
  <c r="C5" i="3"/>
  <c r="E5" i="3"/>
  <c r="K5" i="3"/>
  <c r="I94" i="1"/>
  <c r="K69" i="1"/>
  <c r="J65" i="1"/>
  <c r="J64" i="1"/>
  <c r="J63" i="1"/>
  <c r="J62" i="1"/>
  <c r="J61" i="1"/>
  <c r="K64" i="1"/>
  <c r="J60" i="1"/>
  <c r="J59" i="1"/>
  <c r="K59" i="1"/>
  <c r="J58" i="1"/>
  <c r="J55" i="1"/>
  <c r="J54" i="1"/>
  <c r="J53" i="1"/>
  <c r="J52" i="1"/>
  <c r="K54" i="1"/>
  <c r="J51" i="1"/>
  <c r="J47" i="1"/>
  <c r="J49" i="1"/>
  <c r="J48" i="1"/>
  <c r="K49" i="1"/>
  <c r="K70" i="1"/>
  <c r="L5" i="3"/>
  <c r="C94" i="1"/>
  <c r="C6" i="3"/>
  <c r="E6" i="3"/>
  <c r="J50" i="1"/>
  <c r="J5" i="3"/>
  <c r="D19" i="1"/>
  <c r="E42" i="1"/>
  <c r="D37" i="1"/>
  <c r="I5" i="1"/>
  <c r="I9" i="1"/>
  <c r="I10" i="1"/>
  <c r="I12" i="1"/>
  <c r="I18" i="1"/>
  <c r="J4" i="1"/>
  <c r="I39" i="1"/>
  <c r="J39" i="1"/>
  <c r="F43" i="1"/>
  <c r="G43" i="1"/>
  <c r="G42" i="1"/>
  <c r="I41" i="1"/>
  <c r="J41" i="1"/>
  <c r="E40" i="1"/>
  <c r="I11" i="1"/>
  <c r="H38" i="1"/>
  <c r="G38" i="1"/>
  <c r="F38" i="1"/>
  <c r="G37" i="1"/>
  <c r="E37" i="1"/>
  <c r="I37" i="1"/>
  <c r="H35" i="1"/>
  <c r="G35" i="1"/>
  <c r="I34" i="1"/>
  <c r="H32" i="1"/>
  <c r="I32" i="1"/>
  <c r="J32" i="1"/>
  <c r="H31" i="1"/>
  <c r="I31" i="1"/>
  <c r="J31" i="1"/>
  <c r="H30" i="1"/>
  <c r="I30" i="1"/>
  <c r="J30" i="1"/>
  <c r="F29" i="1"/>
  <c r="I29" i="1"/>
  <c r="J29" i="1"/>
  <c r="G28" i="1"/>
  <c r="I28" i="1"/>
  <c r="J28" i="1"/>
  <c r="G27" i="1"/>
  <c r="I27" i="1"/>
  <c r="J27" i="1"/>
  <c r="G26" i="1"/>
  <c r="I26" i="1"/>
  <c r="H25" i="1"/>
  <c r="G25" i="1"/>
  <c r="G23" i="1"/>
  <c r="H17" i="1"/>
  <c r="I17" i="1"/>
  <c r="H15" i="1"/>
  <c r="I15" i="1"/>
  <c r="I14" i="1"/>
  <c r="H13" i="1"/>
  <c r="I8" i="1"/>
  <c r="I13" i="1"/>
  <c r="D3" i="3"/>
  <c r="E94" i="1"/>
  <c r="K6" i="3"/>
  <c r="L6" i="3"/>
  <c r="J6" i="3"/>
  <c r="J34" i="1"/>
  <c r="K13" i="1"/>
  <c r="J37" i="1"/>
  <c r="J8" i="1"/>
  <c r="J12" i="1"/>
  <c r="H44" i="1"/>
  <c r="H4" i="3"/>
  <c r="I42" i="1"/>
  <c r="C3" i="3"/>
  <c r="J13" i="1"/>
  <c r="J9" i="1"/>
  <c r="J10" i="1"/>
  <c r="J18" i="1"/>
  <c r="J5" i="1"/>
  <c r="J11" i="1"/>
  <c r="J14" i="1"/>
  <c r="J17" i="1"/>
  <c r="J15" i="1"/>
  <c r="F19" i="1"/>
  <c r="F3" i="3"/>
  <c r="I22" i="1"/>
  <c r="F44" i="1"/>
  <c r="G44" i="1"/>
  <c r="G4" i="3"/>
  <c r="K31" i="1"/>
  <c r="I33" i="1"/>
  <c r="J33" i="1"/>
  <c r="I38" i="1"/>
  <c r="J38" i="1"/>
  <c r="I43" i="1"/>
  <c r="J43" i="1"/>
  <c r="J26" i="1"/>
  <c r="D44" i="1"/>
  <c r="D4" i="3"/>
  <c r="D11" i="3"/>
  <c r="I16" i="1"/>
  <c r="J16" i="1"/>
  <c r="I23" i="1"/>
  <c r="J23" i="1"/>
  <c r="I25" i="1"/>
  <c r="J25" i="1"/>
  <c r="I35" i="1"/>
  <c r="J35" i="1"/>
  <c r="I24" i="1"/>
  <c r="J24" i="1"/>
  <c r="I40" i="1"/>
  <c r="J40" i="1"/>
  <c r="H19" i="1"/>
  <c r="H3" i="3"/>
  <c r="H11" i="3"/>
  <c r="G19" i="1"/>
  <c r="I7" i="1"/>
  <c r="K8" i="1"/>
  <c r="G3" i="3"/>
  <c r="G11" i="3"/>
  <c r="G198" i="1"/>
  <c r="D198" i="1"/>
  <c r="H198" i="1"/>
  <c r="F4" i="3"/>
  <c r="F198" i="1"/>
  <c r="I4" i="3"/>
  <c r="F11" i="3"/>
  <c r="I3" i="3"/>
  <c r="E3" i="3"/>
  <c r="K43" i="1"/>
  <c r="K18" i="1"/>
  <c r="K36" i="1"/>
  <c r="J22" i="1"/>
  <c r="K41" i="1"/>
  <c r="I44" i="1"/>
  <c r="K26" i="1"/>
  <c r="K44" i="1"/>
  <c r="I19" i="1"/>
  <c r="K19" i="1"/>
  <c r="I198" i="1"/>
  <c r="K198" i="1"/>
  <c r="K3" i="3"/>
  <c r="L3" i="3"/>
  <c r="I11" i="3"/>
  <c r="J3" i="3"/>
  <c r="E19" i="1"/>
  <c r="J7" i="1"/>
  <c r="J19" i="1"/>
  <c r="C4" i="3"/>
  <c r="E44" i="1"/>
  <c r="E4" i="3"/>
  <c r="J42" i="1"/>
  <c r="J44" i="1"/>
  <c r="K4" i="3"/>
  <c r="J4" i="3"/>
  <c r="L4" i="3"/>
  <c r="C120" i="1"/>
  <c r="C7" i="3"/>
  <c r="E7" i="3"/>
  <c r="K7" i="3"/>
  <c r="K11" i="3"/>
  <c r="K200" i="1"/>
  <c r="M11" i="3"/>
  <c r="E114" i="1"/>
  <c r="J114" i="1"/>
  <c r="J120" i="1"/>
  <c r="J198" i="1"/>
  <c r="J7" i="3"/>
  <c r="J11" i="3"/>
  <c r="E11" i="3"/>
  <c r="C11" i="3"/>
  <c r="E120" i="1"/>
  <c r="E198" i="1"/>
  <c r="C198" i="1"/>
  <c r="L7" i="3"/>
</calcChain>
</file>

<file path=xl/sharedStrings.xml><?xml version="1.0" encoding="utf-8"?>
<sst xmlns="http://schemas.openxmlformats.org/spreadsheetml/2006/main" count="231" uniqueCount="38">
  <si>
    <t>CB</t>
  </si>
  <si>
    <t>MAI</t>
  </si>
  <si>
    <t>JUIN</t>
  </si>
  <si>
    <t>JUILLET</t>
  </si>
  <si>
    <t>Mardi</t>
  </si>
  <si>
    <t>Mercredi</t>
  </si>
  <si>
    <t>Vendredi</t>
  </si>
  <si>
    <t>Samedi</t>
  </si>
  <si>
    <t>Jeudi</t>
  </si>
  <si>
    <t>TOTAL</t>
  </si>
  <si>
    <t xml:space="preserve">Mardi </t>
  </si>
  <si>
    <t>OK avec Tickets</t>
  </si>
  <si>
    <t>DATE / MOIS</t>
  </si>
  <si>
    <t>PRESTATION</t>
  </si>
  <si>
    <t>VENTE</t>
  </si>
  <si>
    <t>TOTAL
VTE + PREST.</t>
  </si>
  <si>
    <t>ESPECES</t>
  </si>
  <si>
    <t>CHEQUES</t>
  </si>
  <si>
    <t>TOTAL
PAIEMENT</t>
  </si>
  <si>
    <t>TOTAL
SEMAINE</t>
  </si>
  <si>
    <t>ECART</t>
  </si>
  <si>
    <t>TOTAL
CA</t>
  </si>
  <si>
    <t>AOUT</t>
  </si>
  <si>
    <t>SEPTEMBRE</t>
  </si>
  <si>
    <t>OCTOBRE</t>
  </si>
  <si>
    <t>NOVEMBRE</t>
  </si>
  <si>
    <t>DECEMBRE</t>
  </si>
  <si>
    <t>MOIS</t>
  </si>
  <si>
    <t>Dimanche</t>
  </si>
  <si>
    <t>vendredi</t>
  </si>
  <si>
    <t>samedi</t>
  </si>
  <si>
    <t>mardi</t>
  </si>
  <si>
    <t>mercredi</t>
  </si>
  <si>
    <t>jeudi</t>
  </si>
  <si>
    <t>lundi</t>
  </si>
  <si>
    <t>TOTAUX</t>
  </si>
  <si>
    <t>PAS DE TICKETS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</si>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</sst>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_ ;[Red]\-#,##0.00\ "/>
    <numFmt numFmtId="165" formatCode="[$-40C]d\ mmmm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scheme val="minor"/>
    </font>
    <font>
      <sz val="11"/>
      <color theme="0"/>
      <name val="Calibri"/>
      <scheme val="minor"/>
    </font>
    <font>
      <b/>
      <sz val="11"/>
      <color rgb="FFFFFFFF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fgColor theme="1" tint="0.499984740745262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theme="1" tint="0.499984740745262"/>
      </patternFill>
    </fill>
    <fill>
      <patternFill patternType="gray125">
        <fgColor theme="1" tint="0.499984740745262"/>
        <bgColor theme="7" tint="0.79998168889431442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6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4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4" fillId="6" borderId="21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horizontal="center" vertical="center" wrapText="1"/>
    </xf>
    <xf numFmtId="164" fontId="1" fillId="6" borderId="23" xfId="0" applyNumberFormat="1" applyFont="1" applyFill="1" applyBorder="1" applyAlignment="1">
      <alignment horizontal="center" vertical="center" wrapText="1"/>
    </xf>
    <xf numFmtId="164" fontId="5" fillId="6" borderId="22" xfId="0" applyNumberFormat="1" applyFont="1" applyFill="1" applyBorder="1" applyAlignment="1">
      <alignment horizontal="center" vertical="center" wrapText="1"/>
    </xf>
    <xf numFmtId="164" fontId="1" fillId="6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8" fontId="0" fillId="0" borderId="0" xfId="0" applyNumberFormat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8" fontId="0" fillId="0" borderId="27" xfId="0" applyNumberFormat="1" applyBorder="1" applyAlignment="1">
      <alignment vertical="center"/>
    </xf>
    <xf numFmtId="8" fontId="0" fillId="0" borderId="28" xfId="0" applyNumberFormat="1" applyBorder="1" applyAlignment="1">
      <alignment vertical="center"/>
    </xf>
    <xf numFmtId="8" fontId="1" fillId="0" borderId="29" xfId="0" applyNumberFormat="1" applyFont="1" applyBorder="1" applyAlignment="1">
      <alignment vertical="center"/>
    </xf>
    <xf numFmtId="8" fontId="11" fillId="0" borderId="27" xfId="0" applyNumberFormat="1" applyFont="1" applyBorder="1" applyAlignment="1">
      <alignment vertical="center"/>
    </xf>
    <xf numFmtId="8" fontId="11" fillId="0" borderId="28" xfId="0" applyNumberFormat="1" applyFont="1" applyBorder="1" applyAlignment="1">
      <alignment vertical="center"/>
    </xf>
    <xf numFmtId="8" fontId="1" fillId="0" borderId="19" xfId="0" applyNumberFormat="1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8" fontId="1" fillId="7" borderId="30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8" fontId="0" fillId="0" borderId="31" xfId="0" applyNumberFormat="1" applyBorder="1" applyAlignment="1">
      <alignment vertical="center"/>
    </xf>
    <xf numFmtId="8" fontId="11" fillId="0" borderId="31" xfId="0" applyNumberFormat="1" applyFont="1" applyBorder="1" applyAlignment="1">
      <alignment vertical="center"/>
    </xf>
    <xf numFmtId="8" fontId="1" fillId="0" borderId="15" xfId="0" applyNumberFormat="1" applyFont="1" applyBorder="1" applyAlignment="1">
      <alignment vertical="center"/>
    </xf>
    <xf numFmtId="8" fontId="12" fillId="0" borderId="29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11" fillId="0" borderId="0" xfId="0" applyNumberFormat="1" applyFont="1" applyAlignment="1">
      <alignment vertical="center"/>
    </xf>
    <xf numFmtId="8" fontId="1" fillId="3" borderId="0" xfId="0" applyNumberFormat="1" applyFon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165" fontId="4" fillId="6" borderId="21" xfId="0" applyNumberFormat="1" applyFont="1" applyFill="1" applyBorder="1" applyAlignment="1" applyProtection="1">
      <alignment horizontal="center" vertical="center"/>
      <protection locked="0"/>
    </xf>
    <xf numFmtId="164" fontId="1" fillId="6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5" fontId="0" fillId="6" borderId="1" xfId="0" applyNumberFormat="1" applyFill="1" applyBorder="1" applyAlignment="1" applyProtection="1">
      <alignment horizontal="center" vertical="center"/>
      <protection locked="0"/>
    </xf>
    <xf numFmtId="165" fontId="0" fillId="6" borderId="2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65" fontId="1" fillId="0" borderId="0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vertical="center"/>
      <protection locked="0"/>
    </xf>
    <xf numFmtId="164" fontId="1" fillId="0" borderId="0" xfId="0" applyNumberFormat="1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vertical="center"/>
      <protection locked="0"/>
    </xf>
    <xf numFmtId="164" fontId="1" fillId="0" borderId="18" xfId="0" applyNumberFormat="1" applyFont="1" applyFill="1" applyBorder="1" applyAlignment="1" applyProtection="1">
      <alignment vertical="center"/>
      <protection locked="0"/>
    </xf>
    <xf numFmtId="164" fontId="0" fillId="0" borderId="18" xfId="0" applyNumberFormat="1" applyFill="1" applyBorder="1" applyAlignment="1" applyProtection="1">
      <alignment vertical="center"/>
      <protection locked="0"/>
    </xf>
    <xf numFmtId="164" fontId="3" fillId="0" borderId="18" xfId="0" applyNumberFormat="1" applyFont="1" applyFill="1" applyBorder="1" applyAlignment="1" applyProtection="1">
      <alignment vertical="center"/>
      <protection locked="0"/>
    </xf>
    <xf numFmtId="164" fontId="0" fillId="0" borderId="14" xfId="0" applyNumberFormat="1" applyFont="1" applyBorder="1" applyAlignment="1" applyProtection="1">
      <alignment vertical="center"/>
      <protection locked="0"/>
    </xf>
    <xf numFmtId="165" fontId="0" fillId="0" borderId="22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164" fontId="0" fillId="0" borderId="14" xfId="0" applyNumberFormat="1" applyFont="1" applyFill="1" applyBorder="1" applyAlignment="1" applyProtection="1">
      <alignment vertical="center"/>
      <protection locked="0"/>
    </xf>
    <xf numFmtId="164" fontId="0" fillId="0" borderId="28" xfId="0" applyNumberFormat="1" applyBorder="1" applyAlignment="1" applyProtection="1">
      <alignment vertical="center"/>
      <protection locked="0"/>
    </xf>
    <xf numFmtId="164" fontId="0" fillId="0" borderId="33" xfId="0" applyNumberFormat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/>
    </xf>
    <xf numFmtId="164" fontId="6" fillId="5" borderId="1" xfId="0" applyNumberFormat="1" applyFont="1" applyFill="1" applyBorder="1" applyAlignment="1" applyProtection="1">
      <alignment vertical="center"/>
    </xf>
    <xf numFmtId="164" fontId="0" fillId="2" borderId="2" xfId="0" applyNumberFormat="1" applyFill="1" applyBorder="1" applyAlignment="1" applyProtection="1">
      <alignment vertical="center"/>
    </xf>
    <xf numFmtId="164" fontId="1" fillId="6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1" fillId="2" borderId="5" xfId="0" applyNumberFormat="1" applyFont="1" applyFill="1" applyBorder="1" applyAlignment="1" applyProtection="1">
      <alignment vertical="center"/>
    </xf>
    <xf numFmtId="164" fontId="3" fillId="5" borderId="0" xfId="0" applyNumberFormat="1" applyFont="1" applyFill="1" applyBorder="1" applyAlignment="1" applyProtection="1">
      <alignment vertical="center"/>
    </xf>
    <xf numFmtId="164" fontId="4" fillId="5" borderId="5" xfId="0" applyNumberFormat="1" applyFont="1" applyFill="1" applyBorder="1" applyAlignment="1" applyProtection="1">
      <alignment vertical="center"/>
    </xf>
    <xf numFmtId="164" fontId="3" fillId="0" borderId="14" xfId="0" applyNumberFormat="1" applyFont="1" applyBorder="1" applyAlignment="1" applyProtection="1">
      <alignment vertical="center"/>
    </xf>
    <xf numFmtId="164" fontId="1" fillId="0" borderId="15" xfId="0" applyNumberFormat="1" applyFont="1" applyFill="1" applyBorder="1" applyAlignment="1" applyProtection="1">
      <alignment vertical="center"/>
    </xf>
    <xf numFmtId="164" fontId="0" fillId="2" borderId="2" xfId="0" applyNumberFormat="1" applyFont="1" applyFill="1" applyBorder="1" applyAlignment="1" applyProtection="1">
      <alignment vertical="center"/>
    </xf>
    <xf numFmtId="164" fontId="1" fillId="0" borderId="5" xfId="0" applyNumberFormat="1" applyFont="1" applyFill="1" applyBorder="1" applyAlignment="1" applyProtection="1">
      <alignment vertical="center"/>
    </xf>
    <xf numFmtId="164" fontId="3" fillId="2" borderId="9" xfId="0" applyNumberFormat="1" applyFont="1" applyFill="1" applyBorder="1" applyAlignment="1" applyProtection="1">
      <alignment vertical="center"/>
    </xf>
    <xf numFmtId="164" fontId="4" fillId="3" borderId="10" xfId="0" applyNumberFormat="1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64" fontId="1" fillId="2" borderId="9" xfId="0" applyNumberFormat="1" applyFont="1" applyFill="1" applyBorder="1" applyAlignment="1" applyProtection="1">
      <alignment vertical="center"/>
    </xf>
    <xf numFmtId="164" fontId="2" fillId="3" borderId="0" xfId="0" applyNumberFormat="1" applyFont="1" applyFill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165" fontId="0" fillId="6" borderId="1" xfId="0" applyNumberFormat="1" applyFill="1" applyBorder="1" applyAlignment="1" applyProtection="1">
      <alignment horizontal="center" vertical="center"/>
    </xf>
    <xf numFmtId="164" fontId="0" fillId="12" borderId="0" xfId="0" applyNumberFormat="1" applyFill="1" applyBorder="1" applyAlignment="1" applyProtection="1">
      <alignment vertical="center"/>
    </xf>
    <xf numFmtId="165" fontId="0" fillId="6" borderId="1" xfId="0" applyNumberFormat="1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 applyProtection="1">
      <alignment vertical="center"/>
    </xf>
    <xf numFmtId="165" fontId="10" fillId="11" borderId="1" xfId="0" applyNumberFormat="1" applyFont="1" applyFill="1" applyBorder="1" applyAlignment="1" applyProtection="1">
      <alignment horizontal="center" vertical="center"/>
    </xf>
    <xf numFmtId="164" fontId="6" fillId="5" borderId="0" xfId="0" applyNumberFormat="1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165" fontId="0" fillId="6" borderId="2" xfId="0" applyNumberFormat="1" applyFont="1" applyFill="1" applyBorder="1" applyAlignment="1" applyProtection="1">
      <alignment horizontal="center" vertical="center"/>
    </xf>
    <xf numFmtId="164" fontId="0" fillId="12" borderId="14" xfId="0" applyNumberFormat="1" applyFill="1" applyBorder="1" applyAlignment="1" applyProtection="1">
      <alignment vertical="center"/>
    </xf>
    <xf numFmtId="165" fontId="0" fillId="6" borderId="2" xfId="0" applyNumberFormat="1" applyFill="1" applyBorder="1" applyAlignment="1" applyProtection="1">
      <alignment horizontal="center" vertical="center"/>
    </xf>
    <xf numFmtId="164" fontId="0" fillId="12" borderId="14" xfId="0" applyNumberFormat="1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>
      <alignment horizontal="center" vertical="center"/>
    </xf>
    <xf numFmtId="165" fontId="9" fillId="2" borderId="8" xfId="0" applyNumberFormat="1" applyFont="1" applyFill="1" applyBorder="1" applyAlignment="1" applyProtection="1">
      <alignment horizontal="center" vertical="center"/>
    </xf>
    <xf numFmtId="164" fontId="0" fillId="2" borderId="9" xfId="0" applyNumberFormat="1" applyFill="1" applyBorder="1" applyAlignment="1" applyProtection="1">
      <alignment vertical="center"/>
    </xf>
    <xf numFmtId="164" fontId="1" fillId="3" borderId="10" xfId="0" applyNumberFormat="1" applyFont="1" applyFill="1" applyBorder="1" applyAlignment="1" applyProtection="1">
      <alignment vertical="center"/>
    </xf>
    <xf numFmtId="164" fontId="1" fillId="3" borderId="8" xfId="0" applyNumberFormat="1" applyFont="1" applyFill="1" applyBorder="1" applyAlignment="1" applyProtection="1">
      <alignment vertical="center"/>
    </xf>
    <xf numFmtId="164" fontId="1" fillId="4" borderId="15" xfId="0" applyNumberFormat="1" applyFont="1" applyFill="1" applyBorder="1" applyAlignment="1" applyProtection="1">
      <alignment vertical="center"/>
    </xf>
    <xf numFmtId="164" fontId="0" fillId="12" borderId="0" xfId="0" applyNumberFormat="1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vertical="center"/>
    </xf>
    <xf numFmtId="165" fontId="10" fillId="10" borderId="2" xfId="0" applyNumberFormat="1" applyFont="1" applyFill="1" applyBorder="1" applyAlignment="1" applyProtection="1">
      <alignment horizontal="center" vertical="center"/>
    </xf>
    <xf numFmtId="164" fontId="6" fillId="5" borderId="14" xfId="0" applyNumberFormat="1" applyFont="1" applyFill="1" applyBorder="1" applyAlignment="1" applyProtection="1">
      <alignment vertical="center"/>
    </xf>
    <xf numFmtId="164" fontId="6" fillId="5" borderId="2" xfId="0" applyNumberFormat="1" applyFont="1" applyFill="1" applyBorder="1" applyAlignment="1" applyProtection="1">
      <alignment vertical="center"/>
    </xf>
    <xf numFmtId="164" fontId="3" fillId="5" borderId="14" xfId="0" applyNumberFormat="1" applyFont="1" applyFill="1" applyBorder="1" applyAlignment="1" applyProtection="1">
      <alignment vertical="center"/>
    </xf>
    <xf numFmtId="0" fontId="0" fillId="0" borderId="11" xfId="0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14" xfId="0" applyNumberFormat="1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center"/>
    </xf>
    <xf numFmtId="165" fontId="0" fillId="6" borderId="26" xfId="0" applyNumberFormat="1" applyFill="1" applyBorder="1" applyAlignment="1" applyProtection="1">
      <alignment horizontal="center" vertical="center"/>
    </xf>
    <xf numFmtId="164" fontId="1" fillId="4" borderId="5" xfId="0" applyNumberFormat="1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164" fontId="0" fillId="2" borderId="1" xfId="0" applyNumberFormat="1" applyFont="1" applyFill="1" applyBorder="1" applyAlignment="1" applyProtection="1">
      <alignment vertical="center"/>
    </xf>
    <xf numFmtId="164" fontId="1" fillId="2" borderId="36" xfId="0" applyNumberFormat="1" applyFont="1" applyFill="1" applyBorder="1" applyAlignment="1" applyProtection="1">
      <alignment vertical="center"/>
    </xf>
    <xf numFmtId="164" fontId="1" fillId="2" borderId="37" xfId="0" applyNumberFormat="1" applyFont="1" applyFill="1" applyBorder="1" applyAlignment="1" applyProtection="1">
      <alignment vertical="center"/>
    </xf>
    <xf numFmtId="164" fontId="1" fillId="2" borderId="8" xfId="0" applyNumberFormat="1" applyFont="1" applyFill="1" applyBorder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165" fontId="13" fillId="7" borderId="34" xfId="0" applyNumberFormat="1" applyFont="1" applyFill="1" applyBorder="1" applyAlignment="1" applyProtection="1">
      <alignment horizontal="center" vertical="center"/>
    </xf>
    <xf numFmtId="164" fontId="13" fillId="7" borderId="34" xfId="0" applyNumberFormat="1" applyFont="1" applyFill="1" applyBorder="1" applyAlignment="1" applyProtection="1">
      <alignment vertical="center"/>
    </xf>
    <xf numFmtId="164" fontId="13" fillId="7" borderId="35" xfId="0" applyNumberFormat="1" applyFont="1" applyFill="1" applyBorder="1" applyAlignment="1" applyProtection="1">
      <alignment vertical="center"/>
    </xf>
    <xf numFmtId="164" fontId="13" fillId="7" borderId="22" xfId="0" applyNumberFormat="1" applyFont="1" applyFill="1" applyBorder="1" applyAlignment="1" applyProtection="1">
      <alignment vertical="center"/>
    </xf>
    <xf numFmtId="164" fontId="13" fillId="7" borderId="32" xfId="0" applyNumberFormat="1" applyFont="1" applyFill="1" applyBorder="1" applyAlignment="1" applyProtection="1">
      <alignment vertical="center"/>
    </xf>
    <xf numFmtId="164" fontId="7" fillId="0" borderId="0" xfId="0" applyNumberFormat="1" applyFont="1" applyAlignment="1" applyProtection="1">
      <alignment vertical="center"/>
    </xf>
    <xf numFmtId="164" fontId="16" fillId="8" borderId="0" xfId="0" applyNumberFormat="1" applyFont="1" applyFill="1" applyAlignment="1" applyProtection="1">
      <alignment vertical="center"/>
    </xf>
    <xf numFmtId="164" fontId="3" fillId="3" borderId="0" xfId="0" applyNumberFormat="1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164" fontId="18" fillId="9" borderId="0" xfId="0" applyNumberFormat="1" applyFont="1" applyFill="1" applyAlignment="1" applyProtection="1">
      <alignment vertical="center"/>
    </xf>
    <xf numFmtId="164" fontId="17" fillId="0" borderId="0" xfId="0" applyNumberFormat="1" applyFont="1" applyFill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</cellXfs>
  <cellStyles count="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showZeros="0" workbookViewId="0">
      <selection activeCell="J14" sqref="J14"/>
    </sheetView>
  </sheetViews>
  <sheetFormatPr baseColWidth="10" defaultRowHeight="14" x14ac:dyDescent="0"/>
  <cols>
    <col min="2" max="2" width="12.1640625" bestFit="1" customWidth="1"/>
    <col min="3" max="3" width="13.5" customWidth="1"/>
    <col min="5" max="5" width="13.6640625" customWidth="1"/>
  </cols>
  <sheetData>
    <row r="1" spans="2:13" ht="29" thickBot="1">
      <c r="B1" s="5" t="s">
        <v>27</v>
      </c>
      <c r="C1" s="6" t="s">
        <v>13</v>
      </c>
      <c r="D1" s="7" t="s">
        <v>14</v>
      </c>
      <c r="E1" s="7" t="s">
        <v>15</v>
      </c>
      <c r="F1" s="6" t="s">
        <v>16</v>
      </c>
      <c r="G1" s="7" t="s">
        <v>17</v>
      </c>
      <c r="H1" s="6" t="s">
        <v>0</v>
      </c>
      <c r="I1" s="7" t="s">
        <v>18</v>
      </c>
      <c r="J1" s="8" t="s">
        <v>20</v>
      </c>
      <c r="K1" s="9" t="s">
        <v>21</v>
      </c>
    </row>
    <row r="2" spans="2:13" s="2" customFormat="1" ht="21" customHeight="1" thickBot="1"/>
    <row r="3" spans="2:13" s="2" customFormat="1" ht="21" customHeight="1">
      <c r="B3" s="12" t="s">
        <v>1</v>
      </c>
      <c r="C3" s="15">
        <f>JOUR!C19</f>
        <v>1906.9999999999998</v>
      </c>
      <c r="D3" s="15">
        <f>JOUR!D19</f>
        <v>43.9</v>
      </c>
      <c r="E3" s="18">
        <f>C3+D3</f>
        <v>1950.8999999999999</v>
      </c>
      <c r="F3" s="15">
        <f>JOUR!F19</f>
        <v>319.60000000000002</v>
      </c>
      <c r="G3" s="15">
        <f>JOUR!G19</f>
        <v>987.05</v>
      </c>
      <c r="H3" s="15">
        <f>JOUR!H19</f>
        <v>644.24999999999989</v>
      </c>
      <c r="I3" s="18">
        <f>F3+G3+H3</f>
        <v>1950.9</v>
      </c>
      <c r="J3" s="15">
        <f>I3-E3</f>
        <v>0</v>
      </c>
      <c r="K3" s="20">
        <f>E3</f>
        <v>1950.8999999999999</v>
      </c>
      <c r="L3" s="11">
        <f>JOUR!K19-RECAPITULATIF!K3</f>
        <v>0</v>
      </c>
    </row>
    <row r="4" spans="2:13" s="2" customFormat="1" ht="21" customHeight="1">
      <c r="B4" s="13" t="s">
        <v>2</v>
      </c>
      <c r="C4" s="16">
        <f>JOUR!C44</f>
        <v>2521.4999999999995</v>
      </c>
      <c r="D4" s="16">
        <f>JOUR!D44</f>
        <v>109.80000000000001</v>
      </c>
      <c r="E4" s="19">
        <f>C4+D4</f>
        <v>2631.2999999999997</v>
      </c>
      <c r="F4" s="16">
        <f>JOUR!F44</f>
        <v>670.4</v>
      </c>
      <c r="G4" s="16">
        <f>JOUR!G44</f>
        <v>960.49999999999989</v>
      </c>
      <c r="H4" s="16">
        <f>JOUR!H44</f>
        <v>1000.4</v>
      </c>
      <c r="I4" s="19">
        <f>F4+G4+H4</f>
        <v>2631.2999999999997</v>
      </c>
      <c r="J4" s="16">
        <f>I4-E4</f>
        <v>0</v>
      </c>
      <c r="K4" s="21">
        <f>E4</f>
        <v>2631.2999999999997</v>
      </c>
      <c r="L4" s="11">
        <f>JOUR!K44-RECAPITULATIF!K4</f>
        <v>0</v>
      </c>
    </row>
    <row r="5" spans="2:13" s="2" customFormat="1" ht="21" customHeight="1">
      <c r="B5" s="13" t="s">
        <v>3</v>
      </c>
      <c r="C5" s="16">
        <f>JOUR!C70</f>
        <v>3028.15</v>
      </c>
      <c r="D5" s="16">
        <f>JOUR!D70</f>
        <v>58.650000000000006</v>
      </c>
      <c r="E5" s="19">
        <f t="shared" ref="E5:E10" si="0">C5+D5</f>
        <v>3086.8</v>
      </c>
      <c r="F5" s="16">
        <f>JOUR!F70</f>
        <v>634.29999999999995</v>
      </c>
      <c r="G5" s="16">
        <f>JOUR!G70</f>
        <v>1155.1999999999998</v>
      </c>
      <c r="H5" s="16">
        <f>JOUR!H70</f>
        <v>1297.3000000000002</v>
      </c>
      <c r="I5" s="19">
        <f t="shared" ref="I5:I10" si="1">F5+G5+H5</f>
        <v>3086.8</v>
      </c>
      <c r="J5" s="16">
        <f t="shared" ref="J5:J9" si="2">I5-E5</f>
        <v>0</v>
      </c>
      <c r="K5" s="21">
        <f t="shared" ref="K5:K10" si="3">E5</f>
        <v>3086.8</v>
      </c>
      <c r="L5" s="11">
        <f>JOUR!K70-RECAPITULATIF!K5</f>
        <v>0</v>
      </c>
    </row>
    <row r="6" spans="2:13" s="2" customFormat="1" ht="21" customHeight="1">
      <c r="B6" s="13" t="s">
        <v>22</v>
      </c>
      <c r="C6" s="16">
        <f>JOUR!C94</f>
        <v>2959</v>
      </c>
      <c r="D6" s="16">
        <f>JOUR!D94</f>
        <v>136.39999999999998</v>
      </c>
      <c r="E6" s="19">
        <f t="shared" si="0"/>
        <v>3095.4</v>
      </c>
      <c r="F6" s="16">
        <f>JOUR!F94</f>
        <v>556.95000000000005</v>
      </c>
      <c r="G6" s="16">
        <f>JOUR!G94</f>
        <v>1007</v>
      </c>
      <c r="H6" s="16">
        <f>JOUR!H94</f>
        <v>1531.45</v>
      </c>
      <c r="I6" s="19">
        <f t="shared" si="1"/>
        <v>3095.4</v>
      </c>
      <c r="J6" s="16">
        <f t="shared" si="2"/>
        <v>0</v>
      </c>
      <c r="K6" s="21">
        <f t="shared" si="3"/>
        <v>3095.4</v>
      </c>
      <c r="L6" s="11">
        <f>JOUR!K94-RECAPITULATIF!K6</f>
        <v>0</v>
      </c>
    </row>
    <row r="7" spans="2:13" s="2" customFormat="1" ht="21" customHeight="1">
      <c r="B7" s="13" t="s">
        <v>23</v>
      </c>
      <c r="C7" s="16">
        <f>JOUR!C120</f>
        <v>2467</v>
      </c>
      <c r="D7" s="16">
        <f>JOUR!D120</f>
        <v>44.7</v>
      </c>
      <c r="E7" s="19">
        <f t="shared" si="0"/>
        <v>2511.6999999999998</v>
      </c>
      <c r="F7" s="16">
        <f>JOUR!F120</f>
        <v>533.9</v>
      </c>
      <c r="G7" s="16">
        <f>JOUR!G120</f>
        <v>844.45</v>
      </c>
      <c r="H7" s="16">
        <f>JOUR!H120</f>
        <v>1133.3500000000001</v>
      </c>
      <c r="I7" s="19">
        <f t="shared" si="1"/>
        <v>2511.6999999999998</v>
      </c>
      <c r="J7" s="16">
        <f t="shared" si="2"/>
        <v>0</v>
      </c>
      <c r="K7" s="21">
        <f>E7</f>
        <v>2511.6999999999998</v>
      </c>
      <c r="L7" s="11">
        <f>JOUR!K120-RECAPITULATIF!K7</f>
        <v>0</v>
      </c>
    </row>
    <row r="8" spans="2:13" s="2" customFormat="1" ht="21" customHeight="1">
      <c r="B8" s="13" t="s">
        <v>24</v>
      </c>
      <c r="C8" s="16">
        <f>JOUR!C146</f>
        <v>2543.5</v>
      </c>
      <c r="D8" s="16">
        <f>JOUR!D146</f>
        <v>50.7</v>
      </c>
      <c r="E8" s="19">
        <f t="shared" si="0"/>
        <v>2594.1999999999998</v>
      </c>
      <c r="F8" s="16">
        <f>JOUR!F146</f>
        <v>517.29999999999995</v>
      </c>
      <c r="G8" s="16">
        <f>JOUR!G146</f>
        <v>892</v>
      </c>
      <c r="H8" s="16">
        <f>JOUR!H146</f>
        <v>1184.9000000000001</v>
      </c>
      <c r="I8" s="19">
        <f t="shared" si="1"/>
        <v>2594.1999999999998</v>
      </c>
      <c r="J8" s="16">
        <f t="shared" si="2"/>
        <v>0</v>
      </c>
      <c r="K8" s="21">
        <f t="shared" si="3"/>
        <v>2594.1999999999998</v>
      </c>
      <c r="L8" s="11">
        <f>JOUR!K146-RECAPITULATIF!K8</f>
        <v>0</v>
      </c>
    </row>
    <row r="9" spans="2:13" s="2" customFormat="1" ht="21" customHeight="1">
      <c r="B9" s="13" t="s">
        <v>25</v>
      </c>
      <c r="C9" s="16">
        <f>JOUR!C170</f>
        <v>0</v>
      </c>
      <c r="D9" s="16">
        <f>JOUR!D170</f>
        <v>0</v>
      </c>
      <c r="E9" s="19">
        <f t="shared" si="0"/>
        <v>0</v>
      </c>
      <c r="F9" s="16">
        <f>JOUR!F170</f>
        <v>0</v>
      </c>
      <c r="G9" s="16">
        <f>JOUR!G170</f>
        <v>0</v>
      </c>
      <c r="H9" s="16">
        <f>JOUR!H170</f>
        <v>0</v>
      </c>
      <c r="I9" s="19">
        <f t="shared" si="1"/>
        <v>0</v>
      </c>
      <c r="J9" s="16">
        <f t="shared" si="2"/>
        <v>0</v>
      </c>
      <c r="K9" s="21">
        <f t="shared" si="3"/>
        <v>0</v>
      </c>
      <c r="L9" s="11">
        <f>JOUR!K170-RECAPITULATIF!K9</f>
        <v>0</v>
      </c>
    </row>
    <row r="10" spans="2:13" s="2" customFormat="1" ht="21" customHeight="1">
      <c r="B10" s="23" t="s">
        <v>26</v>
      </c>
      <c r="C10" s="24">
        <f>JOUR!C196</f>
        <v>0</v>
      </c>
      <c r="D10" s="24">
        <f>JOUR!D196</f>
        <v>0</v>
      </c>
      <c r="E10" s="25">
        <f t="shared" si="0"/>
        <v>0</v>
      </c>
      <c r="F10" s="24">
        <f>JOUR!F196</f>
        <v>0</v>
      </c>
      <c r="G10" s="24">
        <f>JOUR!G196</f>
        <v>0</v>
      </c>
      <c r="H10" s="24">
        <f>JOUR!H196</f>
        <v>0</v>
      </c>
      <c r="I10" s="25">
        <f t="shared" si="1"/>
        <v>0</v>
      </c>
      <c r="J10" s="24">
        <f>I10-E10</f>
        <v>0</v>
      </c>
      <c r="K10" s="26">
        <f t="shared" si="3"/>
        <v>0</v>
      </c>
      <c r="L10" s="11">
        <f>JOUR!K196-RECAPITULATIF!K10</f>
        <v>0</v>
      </c>
    </row>
    <row r="11" spans="2:13" s="2" customFormat="1" ht="21" customHeight="1" thickBot="1">
      <c r="B11" s="14">
        <v>2010</v>
      </c>
      <c r="C11" s="17">
        <f>SUM(C3:C10)</f>
        <v>15426.15</v>
      </c>
      <c r="D11" s="17">
        <f t="shared" ref="D11:K11" si="4">SUM(D3:D10)</f>
        <v>444.15</v>
      </c>
      <c r="E11" s="27">
        <f t="shared" si="4"/>
        <v>15870.3</v>
      </c>
      <c r="F11" s="17">
        <f t="shared" si="4"/>
        <v>3232.45</v>
      </c>
      <c r="G11" s="17">
        <f t="shared" si="4"/>
        <v>5846.2</v>
      </c>
      <c r="H11" s="17">
        <f t="shared" si="4"/>
        <v>6791.65</v>
      </c>
      <c r="I11" s="27">
        <f t="shared" si="4"/>
        <v>15870.3</v>
      </c>
      <c r="J11" s="17">
        <f t="shared" si="4"/>
        <v>0</v>
      </c>
      <c r="K11" s="22">
        <f t="shared" si="4"/>
        <v>15870.3</v>
      </c>
      <c r="M11" s="30">
        <f>K11-JOUR!K198</f>
        <v>0</v>
      </c>
    </row>
    <row r="12" spans="2:13" s="2" customFormat="1" ht="21" customHeight="1"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spans="2:13" s="2" customFormat="1" ht="21" customHeight="1">
      <c r="B13" s="10"/>
      <c r="C13" s="28"/>
      <c r="D13" s="28"/>
      <c r="E13" s="28"/>
      <c r="F13" s="28"/>
      <c r="G13" s="28"/>
      <c r="H13" s="28"/>
      <c r="I13" s="29"/>
      <c r="J13" s="28"/>
      <c r="K13" s="28"/>
    </row>
    <row r="14" spans="2:13" s="2" customFormat="1" ht="21" customHeight="1"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spans="2:13" s="2" customFormat="1" ht="21" customHeight="1">
      <c r="B15" s="10"/>
      <c r="C15" s="11"/>
      <c r="D15" s="11"/>
      <c r="E15" s="11"/>
      <c r="F15" s="11"/>
      <c r="G15" s="11"/>
      <c r="H15" s="11"/>
      <c r="I15" s="11"/>
      <c r="J15" s="11"/>
      <c r="K15" s="11"/>
    </row>
    <row r="16" spans="2:13" s="2" customFormat="1" ht="21" customHeight="1">
      <c r="B16" s="10"/>
      <c r="C16" s="11"/>
      <c r="D16" s="11"/>
      <c r="E16" s="11"/>
      <c r="F16" s="11"/>
      <c r="G16" s="11"/>
      <c r="H16" s="11"/>
      <c r="I16" s="11"/>
      <c r="J16" s="11"/>
      <c r="K16" s="11"/>
    </row>
    <row r="17" spans="2:11" s="2" customFormat="1" ht="21" customHeight="1">
      <c r="B17" s="10"/>
      <c r="C17" s="11"/>
      <c r="D17" s="11"/>
      <c r="E17" s="11"/>
      <c r="F17" s="11"/>
      <c r="G17" s="11"/>
      <c r="H17" s="11"/>
      <c r="I17" s="11"/>
      <c r="J17" s="11"/>
      <c r="K17" s="11"/>
    </row>
    <row r="18" spans="2:11" s="2" customFormat="1" ht="21" customHeight="1"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spans="2:11" s="2" customFormat="1" ht="21" customHeight="1">
      <c r="B19" s="10"/>
      <c r="C19" s="11"/>
      <c r="D19" s="11"/>
      <c r="E19" s="11"/>
      <c r="F19" s="11"/>
      <c r="G19" s="11"/>
      <c r="H19" s="11"/>
      <c r="I19" s="11"/>
      <c r="J19" s="11"/>
      <c r="K19" s="11"/>
    </row>
    <row r="20" spans="2:11" s="2" customFormat="1" ht="21" customHeight="1"/>
    <row r="21" spans="2:11" s="2" customFormat="1" ht="21" customHeight="1"/>
    <row r="22" spans="2:11" s="2" customFormat="1" ht="21" customHeight="1"/>
    <row r="23" spans="2:11" s="2" customFormat="1" ht="21" customHeight="1"/>
    <row r="24" spans="2:11" s="2" customFormat="1" ht="21" customHeight="1"/>
    <row r="25" spans="2:11" s="2" customFormat="1" ht="21" customHeight="1"/>
    <row r="26" spans="2:11" s="2" customFormat="1" ht="21" customHeight="1"/>
    <row r="27" spans="2:11" s="2" customFormat="1" ht="21" customHeight="1"/>
    <row r="28" spans="2:11" s="2" customFormat="1" ht="21" customHeight="1"/>
    <row r="29" spans="2:11" s="2" customFormat="1" ht="21" customHeight="1"/>
    <row r="30" spans="2:11" s="2" customFormat="1" ht="21" customHeight="1"/>
    <row r="31" spans="2:11" s="2" customFormat="1" ht="21" customHeight="1"/>
    <row r="32" spans="2:11" s="2" customFormat="1" ht="21" customHeight="1"/>
    <row r="33" s="2" customFormat="1" ht="21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00"/>
  <sheetViews>
    <sheetView showZeros="0" tabSelected="1" zoomScale="125" zoomScaleNormal="125" zoomScalePageLayoutView="125" workbookViewId="0">
      <pane ySplit="1" topLeftCell="A34" activePane="bottomLeft" state="frozen"/>
      <selection pane="bottomLeft" activeCell="D50" sqref="D50"/>
    </sheetView>
  </sheetViews>
  <sheetFormatPr baseColWidth="10" defaultRowHeight="14" x14ac:dyDescent="0"/>
  <cols>
    <col min="1" max="1" width="13.33203125" style="2" customWidth="1"/>
    <col min="2" max="2" width="17.6640625" style="3" bestFit="1" customWidth="1"/>
    <col min="3" max="3" width="12.33203125" style="1" customWidth="1"/>
    <col min="4" max="4" width="13.5" style="1" customWidth="1"/>
    <col min="5" max="5" width="18" style="1" customWidth="1"/>
    <col min="6" max="8" width="10.83203125" style="1"/>
    <col min="9" max="9" width="18.6640625" style="1" bestFit="1" customWidth="1"/>
    <col min="10" max="10" width="9.33203125" style="4" bestFit="1" customWidth="1"/>
    <col min="11" max="11" width="15.5" style="1" customWidth="1"/>
    <col min="12" max="12" width="14.5" style="122" bestFit="1" customWidth="1"/>
    <col min="13" max="16384" width="10.83203125" style="2"/>
  </cols>
  <sheetData>
    <row r="1" spans="1:12" ht="30" customHeight="1" thickBot="1">
      <c r="A1" s="31"/>
      <c r="B1" s="32" t="s">
        <v>12</v>
      </c>
      <c r="C1" s="33" t="s">
        <v>13</v>
      </c>
      <c r="D1" s="34" t="s">
        <v>14</v>
      </c>
      <c r="E1" s="34" t="s">
        <v>15</v>
      </c>
      <c r="F1" s="33" t="s">
        <v>16</v>
      </c>
      <c r="G1" s="34" t="s">
        <v>17</v>
      </c>
      <c r="H1" s="33" t="s">
        <v>0</v>
      </c>
      <c r="I1" s="34" t="s">
        <v>18</v>
      </c>
      <c r="J1" s="35" t="s">
        <v>20</v>
      </c>
      <c r="K1" s="36" t="s">
        <v>19</v>
      </c>
    </row>
    <row r="2" spans="1:12" ht="15" thickBot="1">
      <c r="A2" s="31"/>
      <c r="B2" s="38"/>
      <c r="C2" s="37"/>
      <c r="D2" s="37"/>
      <c r="E2" s="37"/>
      <c r="F2" s="37"/>
      <c r="G2" s="37"/>
      <c r="H2" s="37"/>
      <c r="I2" s="37"/>
      <c r="J2" s="39"/>
      <c r="K2" s="37"/>
    </row>
    <row r="3" spans="1:12" ht="15.75" customHeight="1">
      <c r="A3" s="141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18.75" customHeight="1">
      <c r="A4" s="84" t="s">
        <v>4</v>
      </c>
      <c r="B4" s="85">
        <v>40309</v>
      </c>
      <c r="C4" s="86">
        <v>181.2</v>
      </c>
      <c r="D4" s="86">
        <v>8.5</v>
      </c>
      <c r="E4" s="66">
        <f>C4+D4</f>
        <v>189.7</v>
      </c>
      <c r="F4" s="86">
        <v>37.9</v>
      </c>
      <c r="G4" s="86">
        <v>128.30000000000001</v>
      </c>
      <c r="H4" s="86">
        <v>23.5</v>
      </c>
      <c r="I4" s="66">
        <f>SUM(F4:H4)</f>
        <v>189.70000000000002</v>
      </c>
      <c r="J4" s="70">
        <f t="shared" ref="J4:J18" si="0">+E4-I4</f>
        <v>0</v>
      </c>
      <c r="K4" s="71"/>
    </row>
    <row r="5" spans="1:12" ht="15" customHeight="1">
      <c r="A5" s="84" t="s">
        <v>5</v>
      </c>
      <c r="B5" s="87">
        <v>40310</v>
      </c>
      <c r="C5" s="86">
        <v>160.4</v>
      </c>
      <c r="D5" s="86">
        <v>8.5</v>
      </c>
      <c r="E5" s="66">
        <f>C5+D5</f>
        <v>168.9</v>
      </c>
      <c r="F5" s="86">
        <v>73.900000000000006</v>
      </c>
      <c r="G5" s="86">
        <v>57.5</v>
      </c>
      <c r="H5" s="86">
        <v>37.5</v>
      </c>
      <c r="I5" s="66">
        <f t="shared" ref="I5:I18" si="1">SUM(F5:H5)</f>
        <v>168.9</v>
      </c>
      <c r="J5" s="70">
        <f t="shared" si="0"/>
        <v>0</v>
      </c>
      <c r="K5" s="71"/>
    </row>
    <row r="6" spans="1:12" ht="15" customHeight="1">
      <c r="A6" s="88" t="s">
        <v>8</v>
      </c>
      <c r="B6" s="89">
        <v>40311</v>
      </c>
      <c r="C6" s="90"/>
      <c r="D6" s="90"/>
      <c r="E6" s="67"/>
      <c r="F6" s="90"/>
      <c r="G6" s="90"/>
      <c r="H6" s="90"/>
      <c r="I6" s="67"/>
      <c r="J6" s="72">
        <f t="shared" si="0"/>
        <v>0</v>
      </c>
      <c r="K6" s="73"/>
    </row>
    <row r="7" spans="1:12" ht="15" customHeight="1">
      <c r="A7" s="84" t="s">
        <v>6</v>
      </c>
      <c r="B7" s="87">
        <v>40312</v>
      </c>
      <c r="C7" s="86">
        <v>136.69999999999999</v>
      </c>
      <c r="D7" s="86">
        <v>13.45</v>
      </c>
      <c r="E7" s="66">
        <f t="shared" ref="E7:E13" si="2">C7+D7</f>
        <v>150.14999999999998</v>
      </c>
      <c r="F7" s="86">
        <f>31.4</f>
        <v>31.4</v>
      </c>
      <c r="G7" s="86">
        <v>63.95</v>
      </c>
      <c r="H7" s="86">
        <f>54.8</f>
        <v>54.8</v>
      </c>
      <c r="I7" s="66">
        <f t="shared" si="1"/>
        <v>150.14999999999998</v>
      </c>
      <c r="J7" s="70">
        <f t="shared" si="0"/>
        <v>0</v>
      </c>
      <c r="K7" s="71"/>
    </row>
    <row r="8" spans="1:12" ht="15" customHeight="1">
      <c r="A8" s="91" t="s">
        <v>7</v>
      </c>
      <c r="B8" s="92">
        <v>40313</v>
      </c>
      <c r="C8" s="93">
        <v>261.3</v>
      </c>
      <c r="D8" s="93"/>
      <c r="E8" s="68">
        <f>C8+D8</f>
        <v>261.3</v>
      </c>
      <c r="F8" s="93">
        <v>44.9</v>
      </c>
      <c r="G8" s="93">
        <v>168.5</v>
      </c>
      <c r="H8" s="93">
        <v>47.9</v>
      </c>
      <c r="I8" s="68">
        <f t="shared" si="1"/>
        <v>261.3</v>
      </c>
      <c r="J8" s="74">
        <f t="shared" si="0"/>
        <v>0</v>
      </c>
      <c r="K8" s="75">
        <f>SUM(I4:I8)</f>
        <v>770.05</v>
      </c>
      <c r="L8" s="131"/>
    </row>
    <row r="9" spans="1:12" ht="15" customHeight="1">
      <c r="A9" s="84" t="s">
        <v>4</v>
      </c>
      <c r="B9" s="85">
        <v>40316</v>
      </c>
      <c r="C9" s="86">
        <v>192.3</v>
      </c>
      <c r="D9" s="86">
        <v>13.45</v>
      </c>
      <c r="E9" s="66">
        <f t="shared" si="2"/>
        <v>205.75</v>
      </c>
      <c r="F9" s="86"/>
      <c r="G9" s="86">
        <v>135.80000000000001</v>
      </c>
      <c r="H9" s="86">
        <v>69.95</v>
      </c>
      <c r="I9" s="66">
        <f t="shared" si="1"/>
        <v>205.75</v>
      </c>
      <c r="J9" s="70">
        <f t="shared" si="0"/>
        <v>0</v>
      </c>
      <c r="K9" s="71"/>
    </row>
    <row r="10" spans="1:12" ht="15" customHeight="1">
      <c r="A10" s="84" t="s">
        <v>5</v>
      </c>
      <c r="B10" s="85">
        <v>40317</v>
      </c>
      <c r="C10" s="86">
        <v>104.1</v>
      </c>
      <c r="D10" s="86"/>
      <c r="E10" s="66">
        <f t="shared" si="2"/>
        <v>104.1</v>
      </c>
      <c r="F10" s="86">
        <v>11.7</v>
      </c>
      <c r="G10" s="86">
        <v>58.5</v>
      </c>
      <c r="H10" s="86">
        <v>33.9</v>
      </c>
      <c r="I10" s="66">
        <f t="shared" si="1"/>
        <v>104.1</v>
      </c>
      <c r="J10" s="70">
        <f t="shared" si="0"/>
        <v>0</v>
      </c>
      <c r="K10" s="71"/>
    </row>
    <row r="11" spans="1:12" ht="15" customHeight="1">
      <c r="A11" s="84" t="s">
        <v>8</v>
      </c>
      <c r="B11" s="85">
        <v>40318</v>
      </c>
      <c r="C11" s="86">
        <f>29.6+11+21.5+23</f>
        <v>85.1</v>
      </c>
      <c r="D11" s="86"/>
      <c r="E11" s="66">
        <f t="shared" si="2"/>
        <v>85.1</v>
      </c>
      <c r="F11" s="86">
        <f>23</f>
        <v>23</v>
      </c>
      <c r="G11" s="86">
        <f>62.1</f>
        <v>62.1</v>
      </c>
      <c r="H11" s="86"/>
      <c r="I11" s="66">
        <f t="shared" si="1"/>
        <v>85.1</v>
      </c>
      <c r="J11" s="70">
        <f t="shared" si="0"/>
        <v>0</v>
      </c>
      <c r="K11" s="71"/>
    </row>
    <row r="12" spans="1:12" ht="15" customHeight="1">
      <c r="A12" s="84" t="s">
        <v>6</v>
      </c>
      <c r="B12" s="85">
        <v>40319</v>
      </c>
      <c r="C12" s="86">
        <v>150.4</v>
      </c>
      <c r="D12" s="86"/>
      <c r="E12" s="66">
        <f t="shared" si="2"/>
        <v>150.4</v>
      </c>
      <c r="F12" s="86"/>
      <c r="G12" s="86">
        <v>126.9</v>
      </c>
      <c r="H12" s="86">
        <v>23.5</v>
      </c>
      <c r="I12" s="66">
        <f t="shared" si="1"/>
        <v>150.4</v>
      </c>
      <c r="J12" s="70">
        <f t="shared" si="0"/>
        <v>0</v>
      </c>
      <c r="K12" s="71"/>
    </row>
    <row r="13" spans="1:12" ht="15" customHeight="1">
      <c r="A13" s="91" t="s">
        <v>7</v>
      </c>
      <c r="B13" s="94">
        <v>40320</v>
      </c>
      <c r="C13" s="95">
        <v>89.6</v>
      </c>
      <c r="D13" s="95"/>
      <c r="E13" s="68">
        <f t="shared" si="2"/>
        <v>89.6</v>
      </c>
      <c r="F13" s="95"/>
      <c r="G13" s="95">
        <v>7.5</v>
      </c>
      <c r="H13" s="95">
        <f>12.6+12.6+56.9</f>
        <v>82.1</v>
      </c>
      <c r="I13" s="76">
        <f t="shared" si="1"/>
        <v>89.6</v>
      </c>
      <c r="J13" s="74">
        <f t="shared" si="0"/>
        <v>0</v>
      </c>
      <c r="K13" s="75">
        <f>SUM(I9:I13)</f>
        <v>634.95000000000005</v>
      </c>
      <c r="L13" s="131"/>
    </row>
    <row r="14" spans="1:12" ht="15" customHeight="1">
      <c r="A14" s="84" t="s">
        <v>4</v>
      </c>
      <c r="B14" s="85">
        <v>40323</v>
      </c>
      <c r="C14" s="86">
        <v>58.2</v>
      </c>
      <c r="D14" s="86"/>
      <c r="E14" s="66">
        <f>C14+D14</f>
        <v>58.2</v>
      </c>
      <c r="F14" s="86">
        <v>58.2</v>
      </c>
      <c r="G14" s="86"/>
      <c r="H14" s="86"/>
      <c r="I14" s="66">
        <f>SUM(F14:H14)</f>
        <v>58.2</v>
      </c>
      <c r="J14" s="70">
        <f t="shared" si="0"/>
        <v>0</v>
      </c>
      <c r="K14" s="71"/>
    </row>
    <row r="15" spans="1:12" ht="15" customHeight="1">
      <c r="A15" s="84" t="s">
        <v>5</v>
      </c>
      <c r="B15" s="85">
        <v>40324</v>
      </c>
      <c r="C15" s="86">
        <v>183.6</v>
      </c>
      <c r="D15" s="86"/>
      <c r="E15" s="66">
        <f>C15+D15</f>
        <v>183.6</v>
      </c>
      <c r="F15" s="86"/>
      <c r="G15" s="86">
        <v>29.4</v>
      </c>
      <c r="H15" s="86">
        <f>56.4+97.8</f>
        <v>154.19999999999999</v>
      </c>
      <c r="I15" s="66">
        <f>SUM(F15:H15)</f>
        <v>183.6</v>
      </c>
      <c r="J15" s="70">
        <f t="shared" si="0"/>
        <v>0</v>
      </c>
      <c r="K15" s="71"/>
    </row>
    <row r="16" spans="1:12" ht="15" customHeight="1">
      <c r="A16" s="84" t="s">
        <v>8</v>
      </c>
      <c r="B16" s="85">
        <v>40325</v>
      </c>
      <c r="C16" s="86">
        <f>12.6+26</f>
        <v>38.6</v>
      </c>
      <c r="D16" s="86"/>
      <c r="E16" s="66">
        <f>C16+D16</f>
        <v>38.6</v>
      </c>
      <c r="F16" s="86">
        <f>12.6+26</f>
        <v>38.6</v>
      </c>
      <c r="G16" s="86"/>
      <c r="H16" s="86"/>
      <c r="I16" s="66">
        <f t="shared" si="1"/>
        <v>38.6</v>
      </c>
      <c r="J16" s="70">
        <f t="shared" si="0"/>
        <v>0</v>
      </c>
      <c r="K16" s="71"/>
    </row>
    <row r="17" spans="1:12" ht="15" customHeight="1">
      <c r="A17" s="84" t="s">
        <v>6</v>
      </c>
      <c r="B17" s="85">
        <v>40326</v>
      </c>
      <c r="C17" s="86">
        <v>218.8</v>
      </c>
      <c r="D17" s="86"/>
      <c r="E17" s="66">
        <f>C17+D17</f>
        <v>218.8</v>
      </c>
      <c r="F17" s="86"/>
      <c r="G17" s="86">
        <v>123.4</v>
      </c>
      <c r="H17" s="86">
        <f>21.5+17+56.9</f>
        <v>95.4</v>
      </c>
      <c r="I17" s="66">
        <f t="shared" si="1"/>
        <v>218.8</v>
      </c>
      <c r="J17" s="70">
        <f t="shared" si="0"/>
        <v>0</v>
      </c>
      <c r="K17" s="71"/>
    </row>
    <row r="18" spans="1:12" ht="15.75" customHeight="1">
      <c r="A18" s="96" t="s">
        <v>7</v>
      </c>
      <c r="B18" s="85">
        <v>40327</v>
      </c>
      <c r="C18" s="86">
        <v>46.7</v>
      </c>
      <c r="D18" s="86"/>
      <c r="E18" s="66">
        <f>C18+D18</f>
        <v>46.7</v>
      </c>
      <c r="F18" s="86"/>
      <c r="G18" s="86">
        <v>25.2</v>
      </c>
      <c r="H18" s="86">
        <v>21.5</v>
      </c>
      <c r="I18" s="66">
        <f t="shared" si="1"/>
        <v>46.7</v>
      </c>
      <c r="J18" s="70">
        <f t="shared" si="0"/>
        <v>0</v>
      </c>
      <c r="K18" s="77">
        <f>SUM(I14:I18)</f>
        <v>545.90000000000009</v>
      </c>
      <c r="L18" s="131"/>
    </row>
    <row r="19" spans="1:12" ht="15.75" customHeight="1" thickBot="1">
      <c r="A19" s="80" t="s">
        <v>9</v>
      </c>
      <c r="B19" s="81" t="str">
        <f>+A3</f>
        <v>MAI</v>
      </c>
      <c r="C19" s="82">
        <f>SUM(C4:C18)</f>
        <v>1906.9999999999998</v>
      </c>
      <c r="D19" s="82">
        <f t="shared" ref="D19:K19" si="3">SUM(D4:D18)</f>
        <v>43.9</v>
      </c>
      <c r="E19" s="69">
        <f t="shared" si="3"/>
        <v>1950.8999999999996</v>
      </c>
      <c r="F19" s="82">
        <f t="shared" si="3"/>
        <v>319.60000000000002</v>
      </c>
      <c r="G19" s="82">
        <f t="shared" si="3"/>
        <v>987.05</v>
      </c>
      <c r="H19" s="82">
        <f t="shared" si="3"/>
        <v>644.24999999999989</v>
      </c>
      <c r="I19" s="69">
        <f>SUM(I4:I18)</f>
        <v>1950.8999999999996</v>
      </c>
      <c r="J19" s="78">
        <f t="shared" si="3"/>
        <v>0</v>
      </c>
      <c r="K19" s="79">
        <f t="shared" si="3"/>
        <v>1950.9</v>
      </c>
      <c r="L19" s="83" t="s">
        <v>37</v>
      </c>
    </row>
    <row r="20" spans="1:12" ht="15" thickBot="1">
      <c r="A20" s="42"/>
      <c r="B20" s="43"/>
      <c r="C20" s="44"/>
      <c r="D20" s="44"/>
      <c r="E20" s="44"/>
      <c r="F20" s="44"/>
      <c r="G20" s="44"/>
      <c r="H20" s="44"/>
      <c r="I20" s="44"/>
      <c r="J20" s="45"/>
      <c r="K20" s="44"/>
    </row>
    <row r="21" spans="1:12" ht="18">
      <c r="A21" s="141" t="s">
        <v>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2" ht="18.75" customHeight="1">
      <c r="A22" s="97" t="s">
        <v>4</v>
      </c>
      <c r="B22" s="85">
        <v>40330</v>
      </c>
      <c r="C22" s="86">
        <v>59.4</v>
      </c>
      <c r="D22" s="86"/>
      <c r="E22" s="66">
        <f>C22+D22</f>
        <v>59.4</v>
      </c>
      <c r="F22" s="86">
        <v>16.5</v>
      </c>
      <c r="G22" s="86">
        <v>42.9</v>
      </c>
      <c r="H22" s="86"/>
      <c r="I22" s="66">
        <f>SUM(F22:H22)</f>
        <v>59.4</v>
      </c>
      <c r="J22" s="70">
        <f t="shared" ref="J22:J43" si="4">E22-I22</f>
        <v>0</v>
      </c>
      <c r="K22" s="71"/>
    </row>
    <row r="23" spans="1:12" ht="15" customHeight="1">
      <c r="A23" s="97" t="s">
        <v>5</v>
      </c>
      <c r="B23" s="85">
        <v>40331</v>
      </c>
      <c r="C23" s="86">
        <v>80.2</v>
      </c>
      <c r="D23" s="86"/>
      <c r="E23" s="66">
        <f t="shared" ref="E23:E43" si="5">C23+D23</f>
        <v>80.2</v>
      </c>
      <c r="F23" s="86">
        <v>12.6</v>
      </c>
      <c r="G23" s="86">
        <f>12.6+19.5+35.5</f>
        <v>67.599999999999994</v>
      </c>
      <c r="H23" s="86"/>
      <c r="I23" s="66">
        <f t="shared" ref="I23:I25" si="6">SUM(F23:H23)</f>
        <v>80.199999999999989</v>
      </c>
      <c r="J23" s="70">
        <f t="shared" si="4"/>
        <v>0</v>
      </c>
      <c r="K23" s="71"/>
    </row>
    <row r="24" spans="1:12" ht="15" customHeight="1">
      <c r="A24" s="97" t="s">
        <v>8</v>
      </c>
      <c r="B24" s="85">
        <v>40332</v>
      </c>
      <c r="C24" s="86">
        <f>99.4+11</f>
        <v>110.4</v>
      </c>
      <c r="D24" s="86"/>
      <c r="E24" s="66">
        <f t="shared" si="5"/>
        <v>110.4</v>
      </c>
      <c r="F24" s="86">
        <f>41.4+11</f>
        <v>52.4</v>
      </c>
      <c r="G24" s="86">
        <v>58</v>
      </c>
      <c r="H24" s="86"/>
      <c r="I24" s="66">
        <f t="shared" si="6"/>
        <v>110.4</v>
      </c>
      <c r="J24" s="70">
        <f t="shared" si="4"/>
        <v>0</v>
      </c>
      <c r="K24" s="71"/>
    </row>
    <row r="25" spans="1:12" ht="15" customHeight="1">
      <c r="A25" s="97" t="s">
        <v>6</v>
      </c>
      <c r="B25" s="85">
        <v>40333</v>
      </c>
      <c r="C25" s="86">
        <f>12.6+19.5+12.6+23.5+58</f>
        <v>126.2</v>
      </c>
      <c r="D25" s="86"/>
      <c r="E25" s="66">
        <f t="shared" si="5"/>
        <v>126.2</v>
      </c>
      <c r="F25" s="86">
        <f>12.6</f>
        <v>12.6</v>
      </c>
      <c r="G25" s="86">
        <f>12.6+19.5</f>
        <v>32.1</v>
      </c>
      <c r="H25" s="86">
        <f>58+23.5</f>
        <v>81.5</v>
      </c>
      <c r="I25" s="66">
        <f t="shared" si="6"/>
        <v>126.2</v>
      </c>
      <c r="J25" s="70">
        <f t="shared" si="4"/>
        <v>0</v>
      </c>
      <c r="K25" s="71"/>
    </row>
    <row r="26" spans="1:12" ht="15" customHeight="1">
      <c r="A26" s="98" t="s">
        <v>7</v>
      </c>
      <c r="B26" s="94">
        <v>40334</v>
      </c>
      <c r="C26" s="93">
        <v>81.3</v>
      </c>
      <c r="D26" s="93">
        <f>8.5+13.85+9.3</f>
        <v>31.650000000000002</v>
      </c>
      <c r="E26" s="68">
        <f t="shared" si="5"/>
        <v>112.95</v>
      </c>
      <c r="F26" s="93"/>
      <c r="G26" s="93">
        <f>28+34.9</f>
        <v>62.9</v>
      </c>
      <c r="H26" s="93">
        <v>50.05</v>
      </c>
      <c r="I26" s="68">
        <f>SUM(F26:H26)</f>
        <v>112.94999999999999</v>
      </c>
      <c r="J26" s="74">
        <f t="shared" si="4"/>
        <v>0</v>
      </c>
      <c r="K26" s="75">
        <f>SUM(I22:I26)</f>
        <v>489.15</v>
      </c>
      <c r="L26" s="131"/>
    </row>
    <row r="27" spans="1:12" ht="15" customHeight="1">
      <c r="A27" s="97" t="s">
        <v>4</v>
      </c>
      <c r="B27" s="85">
        <v>40337</v>
      </c>
      <c r="C27" s="86">
        <v>85.9</v>
      </c>
      <c r="D27" s="86"/>
      <c r="E27" s="66">
        <f t="shared" si="5"/>
        <v>85.9</v>
      </c>
      <c r="F27" s="86">
        <v>12.6</v>
      </c>
      <c r="G27" s="86">
        <f>26.9+29.4</f>
        <v>56.3</v>
      </c>
      <c r="H27" s="86">
        <v>17</v>
      </c>
      <c r="I27" s="66">
        <f>SUM(F27:H27)</f>
        <v>85.899999999999991</v>
      </c>
      <c r="J27" s="70">
        <f t="shared" si="4"/>
        <v>0</v>
      </c>
      <c r="K27" s="71"/>
    </row>
    <row r="28" spans="1:12" ht="15" customHeight="1">
      <c r="A28" s="97" t="s">
        <v>5</v>
      </c>
      <c r="B28" s="85">
        <v>40338</v>
      </c>
      <c r="C28" s="86">
        <v>70.099999999999994</v>
      </c>
      <c r="D28" s="86"/>
      <c r="E28" s="66">
        <f t="shared" si="5"/>
        <v>70.099999999999994</v>
      </c>
      <c r="F28" s="86">
        <v>44.9</v>
      </c>
      <c r="G28" s="86">
        <f>12.6+12.6</f>
        <v>25.2</v>
      </c>
      <c r="H28" s="86"/>
      <c r="I28" s="66">
        <f t="shared" ref="I28:I31" si="7">SUM(F28:H28)</f>
        <v>70.099999999999994</v>
      </c>
      <c r="J28" s="70">
        <f t="shared" si="4"/>
        <v>0</v>
      </c>
      <c r="K28" s="71"/>
    </row>
    <row r="29" spans="1:12" ht="15" customHeight="1">
      <c r="A29" s="97" t="s">
        <v>8</v>
      </c>
      <c r="B29" s="85">
        <v>40339</v>
      </c>
      <c r="C29" s="86">
        <v>82.5</v>
      </c>
      <c r="D29" s="86"/>
      <c r="E29" s="66">
        <f t="shared" si="5"/>
        <v>82.5</v>
      </c>
      <c r="F29" s="86">
        <f>24+19.5</f>
        <v>43.5</v>
      </c>
      <c r="G29" s="86">
        <v>19.5</v>
      </c>
      <c r="H29" s="86">
        <v>19.5</v>
      </c>
      <c r="I29" s="66">
        <f t="shared" si="7"/>
        <v>82.5</v>
      </c>
      <c r="J29" s="70">
        <f t="shared" si="4"/>
        <v>0</v>
      </c>
      <c r="K29" s="71"/>
    </row>
    <row r="30" spans="1:12" ht="15" customHeight="1">
      <c r="A30" s="97" t="s">
        <v>6</v>
      </c>
      <c r="B30" s="85">
        <v>40340</v>
      </c>
      <c r="C30" s="86">
        <v>110.4</v>
      </c>
      <c r="D30" s="86"/>
      <c r="E30" s="66">
        <f t="shared" si="5"/>
        <v>110.4</v>
      </c>
      <c r="F30" s="86">
        <v>12.6</v>
      </c>
      <c r="G30" s="86">
        <v>31.4</v>
      </c>
      <c r="H30" s="86">
        <f>35+31.4</f>
        <v>66.400000000000006</v>
      </c>
      <c r="I30" s="66">
        <f t="shared" si="7"/>
        <v>110.4</v>
      </c>
      <c r="J30" s="70">
        <f t="shared" si="4"/>
        <v>0</v>
      </c>
      <c r="K30" s="71"/>
    </row>
    <row r="31" spans="1:12" ht="15" customHeight="1">
      <c r="A31" s="98" t="s">
        <v>7</v>
      </c>
      <c r="B31" s="94">
        <v>40341</v>
      </c>
      <c r="C31" s="93">
        <v>104.7</v>
      </c>
      <c r="D31" s="93"/>
      <c r="E31" s="68">
        <f t="shared" si="5"/>
        <v>104.7</v>
      </c>
      <c r="F31" s="93"/>
      <c r="G31" s="93">
        <v>22.9</v>
      </c>
      <c r="H31" s="93">
        <f>16+42.9+22.9</f>
        <v>81.8</v>
      </c>
      <c r="I31" s="76">
        <f t="shared" si="7"/>
        <v>104.69999999999999</v>
      </c>
      <c r="J31" s="74">
        <f t="shared" si="4"/>
        <v>0</v>
      </c>
      <c r="K31" s="75">
        <f>SUM(I27:I31)</f>
        <v>453.59999999999997</v>
      </c>
      <c r="L31" s="131"/>
    </row>
    <row r="32" spans="1:12" ht="15" customHeight="1">
      <c r="A32" s="97" t="s">
        <v>4</v>
      </c>
      <c r="B32" s="85">
        <v>40344</v>
      </c>
      <c r="C32" s="86">
        <v>146.5</v>
      </c>
      <c r="D32" s="86">
        <v>13.45</v>
      </c>
      <c r="E32" s="66">
        <f t="shared" si="5"/>
        <v>159.94999999999999</v>
      </c>
      <c r="F32" s="86">
        <v>13.45</v>
      </c>
      <c r="G32" s="86"/>
      <c r="H32" s="86">
        <f>31.4+51.4+17+21.5+12.6+12.6</f>
        <v>146.5</v>
      </c>
      <c r="I32" s="66">
        <f>SUM(F32:H32)</f>
        <v>159.94999999999999</v>
      </c>
      <c r="J32" s="70">
        <f t="shared" si="4"/>
        <v>0</v>
      </c>
      <c r="K32" s="71"/>
    </row>
    <row r="33" spans="1:12" ht="15" customHeight="1">
      <c r="A33" s="97" t="s">
        <v>5</v>
      </c>
      <c r="B33" s="85">
        <v>40345</v>
      </c>
      <c r="C33" s="86">
        <v>82.1</v>
      </c>
      <c r="D33" s="86"/>
      <c r="E33" s="66">
        <f t="shared" si="5"/>
        <v>82.1</v>
      </c>
      <c r="F33" s="86">
        <f>34.9+25.6</f>
        <v>60.5</v>
      </c>
      <c r="G33" s="86">
        <v>21.6</v>
      </c>
      <c r="H33" s="86"/>
      <c r="I33" s="66">
        <f t="shared" ref="I33:I36" si="8">SUM(F33:H33)</f>
        <v>82.1</v>
      </c>
      <c r="J33" s="70">
        <f t="shared" si="4"/>
        <v>0</v>
      </c>
      <c r="K33" s="71"/>
    </row>
    <row r="34" spans="1:12" ht="15" customHeight="1">
      <c r="A34" s="97" t="s">
        <v>8</v>
      </c>
      <c r="B34" s="85">
        <v>40346</v>
      </c>
      <c r="C34" s="86">
        <f>102.4+28.5</f>
        <v>130.9</v>
      </c>
      <c r="D34" s="86"/>
      <c r="E34" s="66">
        <f t="shared" si="5"/>
        <v>130.9</v>
      </c>
      <c r="F34" s="86">
        <f>36+9+28.5</f>
        <v>73.5</v>
      </c>
      <c r="G34" s="86">
        <v>39.5</v>
      </c>
      <c r="H34" s="86">
        <v>17.899999999999999</v>
      </c>
      <c r="I34" s="66">
        <f t="shared" si="8"/>
        <v>130.9</v>
      </c>
      <c r="J34" s="70">
        <f t="shared" si="4"/>
        <v>0</v>
      </c>
      <c r="K34" s="71"/>
    </row>
    <row r="35" spans="1:12" ht="15" customHeight="1">
      <c r="A35" s="97" t="s">
        <v>6</v>
      </c>
      <c r="B35" s="85">
        <v>40347</v>
      </c>
      <c r="C35" s="86">
        <v>190.5</v>
      </c>
      <c r="D35" s="86"/>
      <c r="E35" s="66">
        <f t="shared" si="5"/>
        <v>190.5</v>
      </c>
      <c r="F35" s="86"/>
      <c r="G35" s="86">
        <f>26.9+22.9+29.4</f>
        <v>79.199999999999989</v>
      </c>
      <c r="H35" s="86">
        <f>44.9+66.4</f>
        <v>111.30000000000001</v>
      </c>
      <c r="I35" s="66">
        <f t="shared" si="8"/>
        <v>190.5</v>
      </c>
      <c r="J35" s="70">
        <f t="shared" si="4"/>
        <v>0</v>
      </c>
      <c r="K35" s="71"/>
    </row>
    <row r="36" spans="1:12" ht="15" customHeight="1">
      <c r="A36" s="98" t="s">
        <v>7</v>
      </c>
      <c r="B36" s="92">
        <v>40348</v>
      </c>
      <c r="C36" s="95">
        <f>26.9+11</f>
        <v>37.9</v>
      </c>
      <c r="D36" s="95"/>
      <c r="E36" s="76">
        <f t="shared" si="5"/>
        <v>37.9</v>
      </c>
      <c r="F36" s="95"/>
      <c r="G36" s="95"/>
      <c r="H36" s="95">
        <v>37.9</v>
      </c>
      <c r="I36" s="76">
        <f t="shared" si="8"/>
        <v>37.9</v>
      </c>
      <c r="J36" s="74">
        <f t="shared" si="4"/>
        <v>0</v>
      </c>
      <c r="K36" s="75">
        <f>SUM(I32:I36)</f>
        <v>601.35</v>
      </c>
      <c r="L36" s="131"/>
    </row>
    <row r="37" spans="1:12" ht="15" customHeight="1">
      <c r="A37" s="97" t="s">
        <v>4</v>
      </c>
      <c r="B37" s="85">
        <v>40351</v>
      </c>
      <c r="C37" s="86">
        <v>192.5</v>
      </c>
      <c r="D37" s="86">
        <f>14.4+13.45</f>
        <v>27.85</v>
      </c>
      <c r="E37" s="66">
        <f t="shared" si="5"/>
        <v>220.35</v>
      </c>
      <c r="F37" s="86">
        <v>89.75</v>
      </c>
      <c r="G37" s="86">
        <f>24.9+47.4+26.9</f>
        <v>99.199999999999989</v>
      </c>
      <c r="H37" s="86">
        <v>31.4</v>
      </c>
      <c r="I37" s="66">
        <f>SUM(F37:H37)</f>
        <v>220.35</v>
      </c>
      <c r="J37" s="70">
        <f t="shared" si="4"/>
        <v>0</v>
      </c>
      <c r="K37" s="71"/>
    </row>
    <row r="38" spans="1:12" ht="15" customHeight="1">
      <c r="A38" s="97" t="s">
        <v>5</v>
      </c>
      <c r="B38" s="85">
        <v>40352</v>
      </c>
      <c r="C38" s="86">
        <v>123.1</v>
      </c>
      <c r="D38" s="86"/>
      <c r="E38" s="66">
        <f t="shared" si="5"/>
        <v>123.1</v>
      </c>
      <c r="F38" s="86">
        <f>12.6+12.6+9+9</f>
        <v>43.2</v>
      </c>
      <c r="G38" s="86">
        <f>29.4+15</f>
        <v>44.4</v>
      </c>
      <c r="H38" s="86">
        <f>22.9+12.6</f>
        <v>35.5</v>
      </c>
      <c r="I38" s="66">
        <f t="shared" ref="I38:I41" si="9">SUM(F38:H38)</f>
        <v>123.1</v>
      </c>
      <c r="J38" s="70">
        <f t="shared" si="4"/>
        <v>0</v>
      </c>
      <c r="K38" s="71"/>
    </row>
    <row r="39" spans="1:12" ht="15" customHeight="1">
      <c r="A39" s="97" t="s">
        <v>8</v>
      </c>
      <c r="B39" s="85">
        <v>40353</v>
      </c>
      <c r="C39" s="86">
        <f>113.4+23+11</f>
        <v>147.4</v>
      </c>
      <c r="D39" s="86"/>
      <c r="E39" s="66">
        <f t="shared" si="5"/>
        <v>147.4</v>
      </c>
      <c r="F39" s="86">
        <f>23+11</f>
        <v>34</v>
      </c>
      <c r="G39" s="86">
        <v>23</v>
      </c>
      <c r="H39" s="86">
        <v>90.4</v>
      </c>
      <c r="I39" s="66">
        <f t="shared" si="9"/>
        <v>147.4</v>
      </c>
      <c r="J39" s="70">
        <f t="shared" si="4"/>
        <v>0</v>
      </c>
      <c r="K39" s="71"/>
    </row>
    <row r="40" spans="1:12" ht="15" customHeight="1">
      <c r="A40" s="97" t="s">
        <v>6</v>
      </c>
      <c r="B40" s="85">
        <v>40354</v>
      </c>
      <c r="C40" s="86">
        <v>170.7</v>
      </c>
      <c r="D40" s="86">
        <v>8.5</v>
      </c>
      <c r="E40" s="66">
        <f t="shared" si="5"/>
        <v>179.2</v>
      </c>
      <c r="F40" s="86">
        <v>25.2</v>
      </c>
      <c r="G40" s="86">
        <v>134.5</v>
      </c>
      <c r="H40" s="86">
        <v>19.5</v>
      </c>
      <c r="I40" s="66">
        <f t="shared" si="9"/>
        <v>179.2</v>
      </c>
      <c r="J40" s="70">
        <f t="shared" si="4"/>
        <v>0</v>
      </c>
      <c r="K40" s="71"/>
    </row>
    <row r="41" spans="1:12" ht="15" customHeight="1">
      <c r="A41" s="98" t="s">
        <v>7</v>
      </c>
      <c r="B41" s="94">
        <v>40355</v>
      </c>
      <c r="C41" s="93">
        <f>71+19.5</f>
        <v>90.5</v>
      </c>
      <c r="D41" s="93"/>
      <c r="E41" s="68">
        <f t="shared" si="5"/>
        <v>90.5</v>
      </c>
      <c r="F41" s="93">
        <f>14+16+24+19.5</f>
        <v>73.5</v>
      </c>
      <c r="G41" s="93"/>
      <c r="H41" s="93">
        <v>17</v>
      </c>
      <c r="I41" s="68">
        <f t="shared" si="9"/>
        <v>90.5</v>
      </c>
      <c r="J41" s="74">
        <f t="shared" si="4"/>
        <v>0</v>
      </c>
      <c r="K41" s="75">
        <f>SUM(I37:I41)</f>
        <v>760.55</v>
      </c>
    </row>
    <row r="42" spans="1:12" ht="15" customHeight="1">
      <c r="A42" s="97" t="s">
        <v>4</v>
      </c>
      <c r="B42" s="85">
        <v>40358</v>
      </c>
      <c r="C42" s="86">
        <v>178.2</v>
      </c>
      <c r="D42" s="86">
        <f>10.9+17.45</f>
        <v>28.35</v>
      </c>
      <c r="E42" s="66">
        <f t="shared" si="5"/>
        <v>206.54999999999998</v>
      </c>
      <c r="F42" s="86">
        <v>11</v>
      </c>
      <c r="G42" s="86">
        <f>31.4</f>
        <v>31.4</v>
      </c>
      <c r="H42" s="86">
        <f>12.6+23.5+93.05+35</f>
        <v>164.15</v>
      </c>
      <c r="I42" s="66">
        <f>SUM(F42:H42)</f>
        <v>206.55</v>
      </c>
      <c r="J42" s="70">
        <f t="shared" si="4"/>
        <v>0</v>
      </c>
      <c r="K42" s="71"/>
    </row>
    <row r="43" spans="1:12" ht="15" customHeight="1">
      <c r="A43" s="97" t="s">
        <v>5</v>
      </c>
      <c r="B43" s="85">
        <v>40359</v>
      </c>
      <c r="C43" s="86">
        <v>120.1</v>
      </c>
      <c r="D43" s="86"/>
      <c r="E43" s="66">
        <f t="shared" si="5"/>
        <v>120.1</v>
      </c>
      <c r="F43" s="86">
        <f>11+12.6+15</f>
        <v>38.6</v>
      </c>
      <c r="G43" s="86">
        <f>38.5+30.4</f>
        <v>68.900000000000006</v>
      </c>
      <c r="H43" s="86">
        <v>12.6</v>
      </c>
      <c r="I43" s="66">
        <f>SUM(F43:H43)</f>
        <v>120.1</v>
      </c>
      <c r="J43" s="70">
        <f t="shared" si="4"/>
        <v>0</v>
      </c>
      <c r="K43" s="77">
        <f>SUM(I42:I43)</f>
        <v>326.64999999999998</v>
      </c>
    </row>
    <row r="44" spans="1:12" ht="15.75" customHeight="1" thickBot="1">
      <c r="A44" s="99" t="s">
        <v>9</v>
      </c>
      <c r="B44" s="100" t="str">
        <f>A21</f>
        <v>JUIN</v>
      </c>
      <c r="C44" s="101">
        <f>SUM(C22:C43)</f>
        <v>2521.4999999999995</v>
      </c>
      <c r="D44" s="101">
        <f t="shared" ref="D44:K44" si="10">SUM(D22:D43)</f>
        <v>109.80000000000001</v>
      </c>
      <c r="E44" s="69">
        <f t="shared" si="10"/>
        <v>2631.3</v>
      </c>
      <c r="F44" s="101">
        <f t="shared" si="10"/>
        <v>670.4</v>
      </c>
      <c r="G44" s="101">
        <f t="shared" si="10"/>
        <v>960.49999999999989</v>
      </c>
      <c r="H44" s="101">
        <f t="shared" si="10"/>
        <v>1000.4</v>
      </c>
      <c r="I44" s="69">
        <f t="shared" si="10"/>
        <v>2631.3</v>
      </c>
      <c r="J44" s="78">
        <f t="shared" si="10"/>
        <v>0</v>
      </c>
      <c r="K44" s="102">
        <f t="shared" si="10"/>
        <v>2631.2999999999997</v>
      </c>
      <c r="L44" s="83" t="s">
        <v>37</v>
      </c>
    </row>
    <row r="45" spans="1:12" ht="15" thickBot="1">
      <c r="A45" s="42"/>
      <c r="B45" s="43"/>
      <c r="C45" s="44"/>
      <c r="D45" s="44"/>
      <c r="E45" s="44"/>
      <c r="F45" s="44"/>
      <c r="G45" s="44"/>
      <c r="H45" s="44"/>
      <c r="I45" s="44"/>
      <c r="J45" s="45"/>
      <c r="K45" s="44"/>
    </row>
    <row r="46" spans="1:12" ht="18">
      <c r="A46" s="138" t="s">
        <v>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40"/>
    </row>
    <row r="47" spans="1:12">
      <c r="A47" s="97" t="s">
        <v>8</v>
      </c>
      <c r="B47" s="85">
        <v>40360</v>
      </c>
      <c r="C47" s="44">
        <v>85.5</v>
      </c>
      <c r="D47" s="44"/>
      <c r="E47" s="66">
        <f>C47+D47</f>
        <v>85.5</v>
      </c>
      <c r="F47" s="44">
        <v>5</v>
      </c>
      <c r="G47" s="44"/>
      <c r="H47" s="44">
        <v>80.5</v>
      </c>
      <c r="I47" s="66">
        <f t="shared" ref="I47:I48" si="11">SUM(F47:H47)</f>
        <v>85.5</v>
      </c>
      <c r="J47" s="70">
        <f t="shared" ref="J47:J55" si="12">E47-I47</f>
        <v>0</v>
      </c>
      <c r="K47" s="71"/>
    </row>
    <row r="48" spans="1:12">
      <c r="A48" s="97" t="s">
        <v>6</v>
      </c>
      <c r="B48" s="85">
        <v>40361</v>
      </c>
      <c r="C48" s="44">
        <v>152.9</v>
      </c>
      <c r="D48" s="44"/>
      <c r="E48" s="66">
        <f t="shared" ref="E48:E69" si="13">C48+D48</f>
        <v>152.9</v>
      </c>
      <c r="F48" s="44">
        <v>48.1</v>
      </c>
      <c r="G48" s="44">
        <v>81.3</v>
      </c>
      <c r="H48" s="44">
        <v>23.5</v>
      </c>
      <c r="I48" s="66">
        <f t="shared" si="11"/>
        <v>152.9</v>
      </c>
      <c r="J48" s="70">
        <f t="shared" si="12"/>
        <v>0</v>
      </c>
      <c r="K48" s="71"/>
    </row>
    <row r="49" spans="1:12">
      <c r="A49" s="106" t="s">
        <v>7</v>
      </c>
      <c r="B49" s="94">
        <v>40362</v>
      </c>
      <c r="C49" s="49">
        <v>141.4</v>
      </c>
      <c r="D49" s="49"/>
      <c r="E49" s="68">
        <f t="shared" si="13"/>
        <v>141.4</v>
      </c>
      <c r="F49" s="49"/>
      <c r="G49" s="49">
        <v>37</v>
      </c>
      <c r="H49" s="49">
        <v>104.4</v>
      </c>
      <c r="I49" s="68">
        <f>SUM(F49:H49)</f>
        <v>141.4</v>
      </c>
      <c r="J49" s="74">
        <f t="shared" si="12"/>
        <v>0</v>
      </c>
      <c r="K49" s="104">
        <f>SUM(I47:I49)</f>
        <v>379.8</v>
      </c>
      <c r="L49" s="132" t="s">
        <v>36</v>
      </c>
    </row>
    <row r="50" spans="1:12">
      <c r="A50" s="97" t="s">
        <v>4</v>
      </c>
      <c r="B50" s="85">
        <v>40365</v>
      </c>
      <c r="C50" s="44">
        <f>153.5-9.3</f>
        <v>144.19999999999999</v>
      </c>
      <c r="D50" s="44">
        <v>9.3000000000000007</v>
      </c>
      <c r="E50" s="66">
        <f t="shared" si="13"/>
        <v>153.5</v>
      </c>
      <c r="F50" s="44">
        <v>12.6</v>
      </c>
      <c r="G50" s="44">
        <f>12.6+12.6+34.9</f>
        <v>60.099999999999994</v>
      </c>
      <c r="H50" s="44">
        <f>67.2+22.9-9.3</f>
        <v>80.8</v>
      </c>
      <c r="I50" s="66">
        <f>SUM(F50:H50)</f>
        <v>153.5</v>
      </c>
      <c r="J50" s="70">
        <f t="shared" si="12"/>
        <v>0</v>
      </c>
      <c r="K50" s="71"/>
    </row>
    <row r="51" spans="1:12">
      <c r="A51" s="97" t="s">
        <v>5</v>
      </c>
      <c r="B51" s="85">
        <v>40366</v>
      </c>
      <c r="C51" s="44">
        <v>93.4</v>
      </c>
      <c r="D51" s="44"/>
      <c r="E51" s="66">
        <f t="shared" si="13"/>
        <v>93.4</v>
      </c>
      <c r="F51" s="44">
        <v>31.4</v>
      </c>
      <c r="G51" s="44">
        <v>49.4</v>
      </c>
      <c r="H51" s="44">
        <v>12.6</v>
      </c>
      <c r="I51" s="66">
        <f t="shared" ref="I51:I54" si="14">SUM(F51:H51)</f>
        <v>93.399999999999991</v>
      </c>
      <c r="J51" s="70">
        <f t="shared" si="12"/>
        <v>0</v>
      </c>
      <c r="K51" s="71"/>
    </row>
    <row r="52" spans="1:12">
      <c r="A52" s="97" t="s">
        <v>8</v>
      </c>
      <c r="B52" s="85">
        <v>40367</v>
      </c>
      <c r="C52" s="44">
        <v>112.4</v>
      </c>
      <c r="D52" s="44"/>
      <c r="E52" s="66">
        <f t="shared" si="13"/>
        <v>112.4</v>
      </c>
      <c r="F52" s="44">
        <f>28+5+15</f>
        <v>48</v>
      </c>
      <c r="G52" s="44">
        <f>19.5+18</f>
        <v>37.5</v>
      </c>
      <c r="H52" s="44">
        <v>26.9</v>
      </c>
      <c r="I52" s="66">
        <f t="shared" si="14"/>
        <v>112.4</v>
      </c>
      <c r="J52" s="70">
        <f t="shared" si="12"/>
        <v>0</v>
      </c>
      <c r="K52" s="71"/>
    </row>
    <row r="53" spans="1:12">
      <c r="A53" s="97" t="s">
        <v>6</v>
      </c>
      <c r="B53" s="85">
        <v>40368</v>
      </c>
      <c r="C53" s="44">
        <v>229.8</v>
      </c>
      <c r="D53" s="44"/>
      <c r="E53" s="66">
        <f t="shared" si="13"/>
        <v>229.8</v>
      </c>
      <c r="F53" s="44">
        <v>12.6</v>
      </c>
      <c r="G53" s="44">
        <f>19.5+22.9+45.9</f>
        <v>88.3</v>
      </c>
      <c r="H53" s="44">
        <f>49.9+42.9+23.5+12.6</f>
        <v>128.9</v>
      </c>
      <c r="I53" s="66">
        <f t="shared" si="14"/>
        <v>229.8</v>
      </c>
      <c r="J53" s="70">
        <f t="shared" si="12"/>
        <v>0</v>
      </c>
      <c r="K53" s="71"/>
    </row>
    <row r="54" spans="1:12">
      <c r="A54" s="106" t="s">
        <v>7</v>
      </c>
      <c r="B54" s="94">
        <v>40369</v>
      </c>
      <c r="C54" s="49">
        <v>98.9</v>
      </c>
      <c r="D54" s="49"/>
      <c r="E54" s="68">
        <f t="shared" si="13"/>
        <v>98.9</v>
      </c>
      <c r="F54" s="49">
        <v>12.6</v>
      </c>
      <c r="G54" s="49">
        <f>25+19.5</f>
        <v>44.5</v>
      </c>
      <c r="H54" s="49">
        <f>26.9+14.9</f>
        <v>41.8</v>
      </c>
      <c r="I54" s="76">
        <f t="shared" si="14"/>
        <v>98.9</v>
      </c>
      <c r="J54" s="74">
        <f t="shared" si="12"/>
        <v>0</v>
      </c>
      <c r="K54" s="104">
        <f>SUM(I50:I54)</f>
        <v>687.99999999999989</v>
      </c>
      <c r="L54" s="132" t="s">
        <v>36</v>
      </c>
    </row>
    <row r="55" spans="1:12">
      <c r="A55" s="97" t="s">
        <v>4</v>
      </c>
      <c r="B55" s="85">
        <v>40372</v>
      </c>
      <c r="C55" s="44">
        <v>213.5</v>
      </c>
      <c r="D55" s="44"/>
      <c r="E55" s="66">
        <f t="shared" si="13"/>
        <v>213.5</v>
      </c>
      <c r="F55" s="44">
        <f>14+10+16</f>
        <v>40</v>
      </c>
      <c r="G55" s="44">
        <v>50.5</v>
      </c>
      <c r="H55" s="44">
        <v>123</v>
      </c>
      <c r="I55" s="66">
        <f>SUM(F55:H55)</f>
        <v>213.5</v>
      </c>
      <c r="J55" s="70">
        <f t="shared" si="12"/>
        <v>0</v>
      </c>
      <c r="K55" s="71"/>
    </row>
    <row r="56" spans="1:12">
      <c r="A56" s="97" t="s">
        <v>5</v>
      </c>
      <c r="B56" s="85">
        <v>40373</v>
      </c>
      <c r="C56" s="44"/>
      <c r="D56" s="44"/>
      <c r="E56" s="66">
        <f t="shared" si="13"/>
        <v>0</v>
      </c>
      <c r="F56" s="44"/>
      <c r="G56" s="44"/>
      <c r="H56" s="44"/>
      <c r="I56" s="66"/>
      <c r="J56" s="70"/>
      <c r="K56" s="71"/>
    </row>
    <row r="57" spans="1:12">
      <c r="A57" s="97" t="s">
        <v>8</v>
      </c>
      <c r="B57" s="85">
        <v>40374</v>
      </c>
      <c r="C57" s="44">
        <v>70</v>
      </c>
      <c r="D57" s="44"/>
      <c r="E57" s="66">
        <f t="shared" si="13"/>
        <v>70</v>
      </c>
      <c r="F57" s="44">
        <f>24+14+16</f>
        <v>54</v>
      </c>
      <c r="G57" s="44">
        <v>16</v>
      </c>
      <c r="H57" s="44"/>
      <c r="I57" s="66">
        <f t="shared" ref="I57:I59" si="15">SUM(F57:H57)</f>
        <v>70</v>
      </c>
      <c r="J57" s="70">
        <f t="shared" ref="J57:J69" si="16">E57-I57</f>
        <v>0</v>
      </c>
      <c r="K57" s="71"/>
    </row>
    <row r="58" spans="1:12">
      <c r="A58" s="97" t="s">
        <v>6</v>
      </c>
      <c r="B58" s="85">
        <v>40375</v>
      </c>
      <c r="C58" s="44">
        <v>163.5</v>
      </c>
      <c r="D58" s="44"/>
      <c r="E58" s="66">
        <f t="shared" si="13"/>
        <v>163.5</v>
      </c>
      <c r="F58" s="44">
        <f>14+14+14+16</f>
        <v>58</v>
      </c>
      <c r="G58" s="44">
        <v>14</v>
      </c>
      <c r="H58" s="44">
        <f>68+23.5</f>
        <v>91.5</v>
      </c>
      <c r="I58" s="66">
        <f t="shared" si="15"/>
        <v>163.5</v>
      </c>
      <c r="J58" s="70">
        <f t="shared" si="16"/>
        <v>0</v>
      </c>
      <c r="K58" s="71"/>
    </row>
    <row r="59" spans="1:12">
      <c r="A59" s="106" t="s">
        <v>7</v>
      </c>
      <c r="B59" s="94">
        <v>40376</v>
      </c>
      <c r="C59" s="49">
        <v>98</v>
      </c>
      <c r="D59" s="49"/>
      <c r="E59" s="68">
        <f t="shared" si="13"/>
        <v>98</v>
      </c>
      <c r="F59" s="49"/>
      <c r="G59" s="49">
        <f>24+40</f>
        <v>64</v>
      </c>
      <c r="H59" s="49">
        <f>17+17</f>
        <v>34</v>
      </c>
      <c r="I59" s="68">
        <f t="shared" si="15"/>
        <v>98</v>
      </c>
      <c r="J59" s="74">
        <f t="shared" si="16"/>
        <v>0</v>
      </c>
      <c r="K59" s="104">
        <f>SUM(I55:I59)</f>
        <v>545</v>
      </c>
      <c r="L59" s="132" t="s">
        <v>36</v>
      </c>
    </row>
    <row r="60" spans="1:12">
      <c r="A60" s="97" t="s">
        <v>4</v>
      </c>
      <c r="B60" s="85">
        <v>40379</v>
      </c>
      <c r="C60" s="44">
        <v>103.5</v>
      </c>
      <c r="D60" s="44"/>
      <c r="E60" s="66">
        <f t="shared" si="13"/>
        <v>103.5</v>
      </c>
      <c r="F60" s="44">
        <f>10+14+14</f>
        <v>38</v>
      </c>
      <c r="G60" s="44">
        <v>35.5</v>
      </c>
      <c r="H60" s="44">
        <f>14+16</f>
        <v>30</v>
      </c>
      <c r="I60" s="66">
        <f>SUM(F60:H60)</f>
        <v>103.5</v>
      </c>
      <c r="J60" s="70">
        <f t="shared" si="16"/>
        <v>0</v>
      </c>
      <c r="K60" s="71"/>
    </row>
    <row r="61" spans="1:12">
      <c r="A61" s="97" t="s">
        <v>5</v>
      </c>
      <c r="B61" s="85">
        <v>40380</v>
      </c>
      <c r="C61" s="44">
        <f>I61-D61</f>
        <v>165.3</v>
      </c>
      <c r="D61" s="44">
        <v>5</v>
      </c>
      <c r="E61" s="66">
        <f t="shared" si="13"/>
        <v>170.3</v>
      </c>
      <c r="F61" s="44">
        <v>49</v>
      </c>
      <c r="G61" s="44">
        <f>46.8+28</f>
        <v>74.8</v>
      </c>
      <c r="H61" s="44">
        <f>32.5+14</f>
        <v>46.5</v>
      </c>
      <c r="I61" s="66">
        <f t="shared" ref="I61:I69" si="17">SUM(F61:H61)</f>
        <v>170.3</v>
      </c>
      <c r="J61" s="70">
        <f t="shared" si="16"/>
        <v>0</v>
      </c>
      <c r="K61" s="71"/>
    </row>
    <row r="62" spans="1:12">
      <c r="A62" s="97" t="s">
        <v>8</v>
      </c>
      <c r="B62" s="85">
        <v>40381</v>
      </c>
      <c r="C62" s="44">
        <v>87.5</v>
      </c>
      <c r="D62" s="44"/>
      <c r="E62" s="66">
        <f t="shared" si="13"/>
        <v>87.5</v>
      </c>
      <c r="F62" s="44">
        <v>14</v>
      </c>
      <c r="G62" s="44">
        <f>30.5+19.5</f>
        <v>50</v>
      </c>
      <c r="H62" s="44">
        <v>23.5</v>
      </c>
      <c r="I62" s="66">
        <f t="shared" si="17"/>
        <v>87.5</v>
      </c>
      <c r="J62" s="70">
        <f t="shared" si="16"/>
        <v>0</v>
      </c>
      <c r="K62" s="71"/>
    </row>
    <row r="63" spans="1:12">
      <c r="A63" s="97" t="s">
        <v>6</v>
      </c>
      <c r="B63" s="85">
        <v>40382</v>
      </c>
      <c r="C63" s="44">
        <f>I63-D63</f>
        <v>78.5</v>
      </c>
      <c r="D63" s="44">
        <v>28.8</v>
      </c>
      <c r="E63" s="66">
        <f t="shared" si="13"/>
        <v>107.3</v>
      </c>
      <c r="F63" s="44">
        <v>14</v>
      </c>
      <c r="G63" s="44">
        <f>17+28.8</f>
        <v>45.8</v>
      </c>
      <c r="H63" s="44">
        <f>19.5+28</f>
        <v>47.5</v>
      </c>
      <c r="I63" s="66">
        <f t="shared" si="17"/>
        <v>107.3</v>
      </c>
      <c r="J63" s="70">
        <f t="shared" si="16"/>
        <v>0</v>
      </c>
      <c r="K63" s="71"/>
    </row>
    <row r="64" spans="1:12">
      <c r="A64" s="106" t="s">
        <v>7</v>
      </c>
      <c r="B64" s="94">
        <v>40383</v>
      </c>
      <c r="C64" s="49">
        <v>220</v>
      </c>
      <c r="D64" s="49">
        <v>5</v>
      </c>
      <c r="E64" s="68">
        <f t="shared" si="13"/>
        <v>225</v>
      </c>
      <c r="F64" s="49"/>
      <c r="G64" s="49">
        <f>32.5+24.5+19.5+32.5</f>
        <v>109</v>
      </c>
      <c r="H64" s="49">
        <f>22+70+24</f>
        <v>116</v>
      </c>
      <c r="I64" s="68">
        <f t="shared" si="17"/>
        <v>225</v>
      </c>
      <c r="J64" s="74">
        <f t="shared" si="16"/>
        <v>0</v>
      </c>
      <c r="K64" s="104">
        <f>SUM(I60:I64)</f>
        <v>693.6</v>
      </c>
      <c r="L64" s="132" t="s">
        <v>36</v>
      </c>
    </row>
    <row r="65" spans="1:12">
      <c r="A65" s="46" t="s">
        <v>4</v>
      </c>
      <c r="B65" s="40">
        <v>40386</v>
      </c>
      <c r="C65" s="86">
        <v>206.5</v>
      </c>
      <c r="D65" s="86"/>
      <c r="E65" s="66">
        <f t="shared" si="13"/>
        <v>206.5</v>
      </c>
      <c r="F65" s="86">
        <v>19.5</v>
      </c>
      <c r="G65" s="86">
        <f>46.5+44+14</f>
        <v>104.5</v>
      </c>
      <c r="H65" s="86">
        <f>32.5+14+36</f>
        <v>82.5</v>
      </c>
      <c r="I65" s="66">
        <f t="shared" si="17"/>
        <v>206.5</v>
      </c>
      <c r="J65" s="70">
        <f t="shared" si="16"/>
        <v>0</v>
      </c>
      <c r="K65" s="71"/>
    </row>
    <row r="66" spans="1:12">
      <c r="A66" s="46" t="s">
        <v>5</v>
      </c>
      <c r="B66" s="40">
        <v>40387</v>
      </c>
      <c r="C66" s="86">
        <v>154.5</v>
      </c>
      <c r="D66" s="86"/>
      <c r="E66" s="66">
        <f t="shared" si="13"/>
        <v>154.5</v>
      </c>
      <c r="F66" s="86">
        <f>14+7.5+14</f>
        <v>35.5</v>
      </c>
      <c r="G66" s="86">
        <f>42+14</f>
        <v>56</v>
      </c>
      <c r="H66" s="86">
        <f>46+17</f>
        <v>63</v>
      </c>
      <c r="I66" s="66">
        <f t="shared" si="17"/>
        <v>154.5</v>
      </c>
      <c r="J66" s="70">
        <f t="shared" si="16"/>
        <v>0</v>
      </c>
      <c r="K66" s="71"/>
    </row>
    <row r="67" spans="1:12">
      <c r="A67" s="50" t="s">
        <v>8</v>
      </c>
      <c r="B67" s="40">
        <v>40388</v>
      </c>
      <c r="C67" s="105">
        <f>56.5+26</f>
        <v>82.5</v>
      </c>
      <c r="D67" s="105"/>
      <c r="E67" s="66">
        <f t="shared" si="13"/>
        <v>82.5</v>
      </c>
      <c r="F67" s="105">
        <f>10+5+10+11+10</f>
        <v>46</v>
      </c>
      <c r="G67" s="105">
        <v>36.5</v>
      </c>
      <c r="H67" s="105"/>
      <c r="I67" s="66">
        <f t="shared" si="17"/>
        <v>82.5</v>
      </c>
      <c r="J67" s="70">
        <f t="shared" si="16"/>
        <v>0</v>
      </c>
      <c r="K67" s="71"/>
    </row>
    <row r="68" spans="1:12">
      <c r="A68" s="50" t="s">
        <v>6</v>
      </c>
      <c r="B68" s="40">
        <v>40389</v>
      </c>
      <c r="C68" s="105">
        <v>246.5</v>
      </c>
      <c r="D68" s="105"/>
      <c r="E68" s="66">
        <f t="shared" si="13"/>
        <v>246.5</v>
      </c>
      <c r="F68" s="105">
        <f>46+14</f>
        <v>60</v>
      </c>
      <c r="G68" s="105">
        <f>46+24+30.5</f>
        <v>100.5</v>
      </c>
      <c r="H68" s="105">
        <f>21.5+16+48.5</f>
        <v>86</v>
      </c>
      <c r="I68" s="66">
        <f t="shared" si="17"/>
        <v>246.5</v>
      </c>
      <c r="J68" s="70">
        <f t="shared" si="16"/>
        <v>0</v>
      </c>
      <c r="K68" s="71"/>
    </row>
    <row r="69" spans="1:12">
      <c r="A69" s="47" t="s">
        <v>7</v>
      </c>
      <c r="B69" s="41">
        <v>40390</v>
      </c>
      <c r="C69" s="95">
        <f>90.4-D69</f>
        <v>79.850000000000009</v>
      </c>
      <c r="D69" s="95">
        <v>10.55</v>
      </c>
      <c r="E69" s="68">
        <f t="shared" si="13"/>
        <v>90.4</v>
      </c>
      <c r="F69" s="95">
        <f>14+11+11</f>
        <v>36</v>
      </c>
      <c r="G69" s="95"/>
      <c r="H69" s="95">
        <f>10.5+21.5+22.4</f>
        <v>54.4</v>
      </c>
      <c r="I69" s="68">
        <f t="shared" si="17"/>
        <v>90.4</v>
      </c>
      <c r="J69" s="70">
        <f t="shared" si="16"/>
        <v>0</v>
      </c>
      <c r="K69" s="104">
        <f>SUM(I65:I69)</f>
        <v>780.4</v>
      </c>
      <c r="L69" s="133" t="s">
        <v>11</v>
      </c>
    </row>
    <row r="70" spans="1:12" ht="15" thickBot="1">
      <c r="A70" s="48" t="s">
        <v>9</v>
      </c>
      <c r="B70" s="51" t="str">
        <f>A46</f>
        <v>JUILLET</v>
      </c>
      <c r="C70" s="101">
        <f t="shared" ref="C70:I70" si="18">SUM(C47:C69)</f>
        <v>3028.15</v>
      </c>
      <c r="D70" s="101">
        <f t="shared" si="18"/>
        <v>58.650000000000006</v>
      </c>
      <c r="E70" s="103">
        <f t="shared" si="18"/>
        <v>3086.8</v>
      </c>
      <c r="F70" s="101">
        <f t="shared" si="18"/>
        <v>634.29999999999995</v>
      </c>
      <c r="G70" s="101">
        <f t="shared" si="18"/>
        <v>1155.1999999999998</v>
      </c>
      <c r="H70" s="101">
        <f t="shared" si="18"/>
        <v>1297.3000000000002</v>
      </c>
      <c r="I70" s="103">
        <f t="shared" si="18"/>
        <v>3086.8</v>
      </c>
      <c r="J70" s="78">
        <f>I70-E70</f>
        <v>0</v>
      </c>
      <c r="K70" s="102">
        <f>SUM(K47:K69)</f>
        <v>3086.8</v>
      </c>
    </row>
    <row r="71" spans="1:12" ht="15" thickBot="1">
      <c r="A71" s="52"/>
      <c r="B71" s="53"/>
      <c r="C71" s="44"/>
      <c r="D71" s="44"/>
      <c r="E71" s="44"/>
      <c r="F71" s="44"/>
      <c r="G71" s="44"/>
      <c r="H71" s="44"/>
      <c r="I71" s="44"/>
      <c r="J71" s="45"/>
      <c r="K71" s="44"/>
    </row>
    <row r="72" spans="1:12" ht="18">
      <c r="A72" s="141" t="s">
        <v>22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3"/>
    </row>
    <row r="73" spans="1:12">
      <c r="A73" s="97" t="s">
        <v>4</v>
      </c>
      <c r="B73" s="85">
        <v>40393</v>
      </c>
      <c r="C73" s="86">
        <v>111</v>
      </c>
      <c r="D73" s="86"/>
      <c r="E73" s="66">
        <f t="shared" ref="E73:E93" si="19">C73+D73</f>
        <v>111</v>
      </c>
      <c r="F73" s="86">
        <f>10+10+14+14</f>
        <v>48</v>
      </c>
      <c r="G73" s="86"/>
      <c r="H73" s="86">
        <f>47+16</f>
        <v>63</v>
      </c>
      <c r="I73" s="66">
        <f>SUM(F73:H73)</f>
        <v>111</v>
      </c>
      <c r="J73" s="70">
        <f t="shared" ref="J73:J93" si="20">E73-I73</f>
        <v>0</v>
      </c>
      <c r="K73" s="71"/>
    </row>
    <row r="74" spans="1:12">
      <c r="A74" s="97" t="s">
        <v>5</v>
      </c>
      <c r="B74" s="85">
        <v>40394</v>
      </c>
      <c r="C74" s="86">
        <f>I74-D74</f>
        <v>230.5</v>
      </c>
      <c r="D74" s="86">
        <f>5+17.45</f>
        <v>22.45</v>
      </c>
      <c r="E74" s="66">
        <f t="shared" si="19"/>
        <v>252.95</v>
      </c>
      <c r="F74" s="86">
        <f>14+14</f>
        <v>28</v>
      </c>
      <c r="G74" s="86">
        <f>35.5+32.5+27+38</f>
        <v>133</v>
      </c>
      <c r="H74" s="86">
        <f>45.45+32.5+14</f>
        <v>91.95</v>
      </c>
      <c r="I74" s="66">
        <f t="shared" ref="I74:I76" si="21">SUM(F74:H74)</f>
        <v>252.95</v>
      </c>
      <c r="J74" s="70">
        <f t="shared" si="20"/>
        <v>0</v>
      </c>
      <c r="K74" s="71"/>
    </row>
    <row r="75" spans="1:12">
      <c r="A75" s="97" t="s">
        <v>8</v>
      </c>
      <c r="B75" s="85">
        <v>40395</v>
      </c>
      <c r="C75" s="86">
        <v>86</v>
      </c>
      <c r="D75" s="86"/>
      <c r="E75" s="66">
        <f t="shared" si="19"/>
        <v>86</v>
      </c>
      <c r="F75" s="86">
        <v>24</v>
      </c>
      <c r="G75" s="86">
        <f>15+12+24+11</f>
        <v>62</v>
      </c>
      <c r="H75" s="86"/>
      <c r="I75" s="66">
        <f t="shared" si="21"/>
        <v>86</v>
      </c>
      <c r="J75" s="70">
        <f t="shared" si="20"/>
        <v>0</v>
      </c>
      <c r="K75" s="71"/>
    </row>
    <row r="76" spans="1:12">
      <c r="A76" s="97" t="s">
        <v>6</v>
      </c>
      <c r="B76" s="85">
        <v>40396</v>
      </c>
      <c r="C76" s="86">
        <f>I76-D76</f>
        <v>154.4</v>
      </c>
      <c r="D76" s="86">
        <v>13.45</v>
      </c>
      <c r="E76" s="66">
        <f t="shared" si="19"/>
        <v>167.85</v>
      </c>
      <c r="F76" s="86">
        <f>16+37.45</f>
        <v>53.45</v>
      </c>
      <c r="G76" s="86">
        <f>30.5+14+19.5</f>
        <v>64</v>
      </c>
      <c r="H76" s="86">
        <f>21.5+28.9</f>
        <v>50.4</v>
      </c>
      <c r="I76" s="66">
        <f t="shared" si="21"/>
        <v>167.85</v>
      </c>
      <c r="J76" s="70">
        <f t="shared" si="20"/>
        <v>0</v>
      </c>
      <c r="K76" s="71"/>
    </row>
    <row r="77" spans="1:12">
      <c r="A77" s="106" t="s">
        <v>7</v>
      </c>
      <c r="B77" s="94">
        <v>40397</v>
      </c>
      <c r="C77" s="93">
        <v>98.5</v>
      </c>
      <c r="D77" s="93"/>
      <c r="E77" s="68">
        <f t="shared" si="19"/>
        <v>98.5</v>
      </c>
      <c r="F77" s="93">
        <v>30.5</v>
      </c>
      <c r="G77" s="93">
        <v>44</v>
      </c>
      <c r="H77" s="93">
        <v>24</v>
      </c>
      <c r="I77" s="68">
        <f>SUM(F77:H77)</f>
        <v>98.5</v>
      </c>
      <c r="J77" s="74">
        <f t="shared" si="20"/>
        <v>0</v>
      </c>
      <c r="K77" s="104">
        <f>SUM(I73:I77)</f>
        <v>716.3</v>
      </c>
      <c r="L77" s="134"/>
    </row>
    <row r="78" spans="1:12">
      <c r="A78" s="97" t="s">
        <v>4</v>
      </c>
      <c r="B78" s="85">
        <v>40400</v>
      </c>
      <c r="C78" s="86">
        <v>211</v>
      </c>
      <c r="D78" s="86">
        <f>13.85+13.85</f>
        <v>27.7</v>
      </c>
      <c r="E78" s="66">
        <f t="shared" si="19"/>
        <v>238.7</v>
      </c>
      <c r="F78" s="86">
        <f>15+24+14</f>
        <v>53</v>
      </c>
      <c r="G78" s="86">
        <v>44</v>
      </c>
      <c r="H78" s="86">
        <f>32.5+30.5+14+64.7</f>
        <v>141.69999999999999</v>
      </c>
      <c r="I78" s="66">
        <f t="shared" ref="I78:I82" si="22">SUM(F78:H78)</f>
        <v>238.7</v>
      </c>
      <c r="J78" s="70">
        <f t="shared" si="20"/>
        <v>0</v>
      </c>
      <c r="K78" s="71"/>
      <c r="L78" s="135"/>
    </row>
    <row r="79" spans="1:12">
      <c r="A79" s="97" t="s">
        <v>5</v>
      </c>
      <c r="B79" s="85">
        <v>40401</v>
      </c>
      <c r="C79" s="86">
        <v>169</v>
      </c>
      <c r="D79" s="86"/>
      <c r="E79" s="66">
        <f t="shared" si="19"/>
        <v>169</v>
      </c>
      <c r="F79" s="86"/>
      <c r="G79" s="86">
        <f>30.5+19.5+23+14</f>
        <v>87</v>
      </c>
      <c r="H79" s="86">
        <f>17+17+48</f>
        <v>82</v>
      </c>
      <c r="I79" s="66">
        <f t="shared" si="22"/>
        <v>169</v>
      </c>
      <c r="J79" s="70">
        <f t="shared" si="20"/>
        <v>0</v>
      </c>
      <c r="K79" s="71"/>
      <c r="L79" s="135"/>
    </row>
    <row r="80" spans="1:12">
      <c r="A80" s="97" t="s">
        <v>8</v>
      </c>
      <c r="B80" s="85">
        <v>40402</v>
      </c>
      <c r="C80" s="86">
        <v>103</v>
      </c>
      <c r="D80" s="86">
        <v>9.3000000000000007</v>
      </c>
      <c r="E80" s="66">
        <f t="shared" si="19"/>
        <v>112.3</v>
      </c>
      <c r="F80" s="86">
        <f>22+14+14</f>
        <v>50</v>
      </c>
      <c r="G80" s="86"/>
      <c r="H80" s="86">
        <v>62.3</v>
      </c>
      <c r="I80" s="66">
        <f t="shared" si="22"/>
        <v>112.3</v>
      </c>
      <c r="J80" s="70">
        <f t="shared" si="20"/>
        <v>0</v>
      </c>
      <c r="K80" s="71"/>
      <c r="L80" s="135"/>
    </row>
    <row r="81" spans="1:12">
      <c r="A81" s="97" t="s">
        <v>6</v>
      </c>
      <c r="B81" s="85">
        <v>40403</v>
      </c>
      <c r="C81" s="86">
        <v>320.5</v>
      </c>
      <c r="D81" s="86">
        <f>13.45+13.45</f>
        <v>26.9</v>
      </c>
      <c r="E81" s="66">
        <f t="shared" si="19"/>
        <v>347.4</v>
      </c>
      <c r="F81" s="86"/>
      <c r="G81" s="86">
        <f>21.5+19.5+44</f>
        <v>85</v>
      </c>
      <c r="H81" s="86">
        <f>35.45+23.5+70+57+48.45+28</f>
        <v>262.39999999999998</v>
      </c>
      <c r="I81" s="66">
        <f t="shared" si="22"/>
        <v>347.4</v>
      </c>
      <c r="J81" s="70">
        <f t="shared" si="20"/>
        <v>0</v>
      </c>
      <c r="K81" s="71"/>
      <c r="L81" s="135"/>
    </row>
    <row r="82" spans="1:12">
      <c r="A82" s="106" t="s">
        <v>7</v>
      </c>
      <c r="B82" s="94">
        <v>40404</v>
      </c>
      <c r="C82" s="93">
        <v>116</v>
      </c>
      <c r="D82" s="93"/>
      <c r="E82" s="68">
        <f t="shared" si="19"/>
        <v>116</v>
      </c>
      <c r="F82" s="93"/>
      <c r="G82" s="93">
        <f>17+47+28</f>
        <v>92</v>
      </c>
      <c r="H82" s="93">
        <v>24</v>
      </c>
      <c r="I82" s="76">
        <f t="shared" si="22"/>
        <v>116</v>
      </c>
      <c r="J82" s="74">
        <f t="shared" si="20"/>
        <v>0</v>
      </c>
      <c r="K82" s="104">
        <f>SUM(I78:I82)</f>
        <v>983.4</v>
      </c>
      <c r="L82" s="134"/>
    </row>
    <row r="83" spans="1:12">
      <c r="A83" s="97" t="s">
        <v>4</v>
      </c>
      <c r="B83" s="85">
        <v>40407</v>
      </c>
      <c r="C83" s="86">
        <v>87</v>
      </c>
      <c r="D83" s="86"/>
      <c r="E83" s="66">
        <f t="shared" si="19"/>
        <v>87</v>
      </c>
      <c r="F83" s="86">
        <f>37.5+14</f>
        <v>51.5</v>
      </c>
      <c r="G83" s="86">
        <v>14</v>
      </c>
      <c r="H83" s="86">
        <v>21.5</v>
      </c>
      <c r="I83" s="66">
        <f>SUM(F83:H83)</f>
        <v>87</v>
      </c>
      <c r="J83" s="70">
        <f t="shared" si="20"/>
        <v>0</v>
      </c>
      <c r="K83" s="71"/>
      <c r="L83" s="135"/>
    </row>
    <row r="84" spans="1:12">
      <c r="A84" s="97" t="s">
        <v>5</v>
      </c>
      <c r="B84" s="85">
        <v>40408</v>
      </c>
      <c r="C84" s="86">
        <v>90.5</v>
      </c>
      <c r="D84" s="86"/>
      <c r="E84" s="66">
        <f t="shared" si="19"/>
        <v>90.5</v>
      </c>
      <c r="F84" s="86">
        <f>14+32.5</f>
        <v>46.5</v>
      </c>
      <c r="G84" s="86">
        <v>44</v>
      </c>
      <c r="H84" s="86"/>
      <c r="I84" s="66">
        <f t="shared" ref="I84:I86" si="23">SUM(F84:H84)</f>
        <v>90.5</v>
      </c>
      <c r="J84" s="70">
        <f t="shared" si="20"/>
        <v>0</v>
      </c>
      <c r="K84" s="71"/>
      <c r="L84" s="135"/>
    </row>
    <row r="85" spans="1:12">
      <c r="A85" s="97" t="s">
        <v>8</v>
      </c>
      <c r="B85" s="85">
        <v>40409</v>
      </c>
      <c r="C85" s="86">
        <v>128</v>
      </c>
      <c r="D85" s="86"/>
      <c r="E85" s="66">
        <f t="shared" si="19"/>
        <v>128</v>
      </c>
      <c r="F85" s="86">
        <f>15+24</f>
        <v>39</v>
      </c>
      <c r="G85" s="86">
        <v>43</v>
      </c>
      <c r="H85" s="86">
        <v>46</v>
      </c>
      <c r="I85" s="66">
        <f t="shared" si="23"/>
        <v>128</v>
      </c>
      <c r="J85" s="70">
        <f t="shared" si="20"/>
        <v>0</v>
      </c>
      <c r="K85" s="71"/>
      <c r="L85" s="135"/>
    </row>
    <row r="86" spans="1:12">
      <c r="A86" s="97" t="s">
        <v>6</v>
      </c>
      <c r="B86" s="85">
        <v>40410</v>
      </c>
      <c r="C86" s="86">
        <f>I86-D86</f>
        <v>278.39999999999998</v>
      </c>
      <c r="D86" s="86">
        <v>13.85</v>
      </c>
      <c r="E86" s="66">
        <f t="shared" si="19"/>
        <v>292.25</v>
      </c>
      <c r="F86" s="86"/>
      <c r="G86" s="86">
        <v>42</v>
      </c>
      <c r="H86" s="86">
        <f>43.35+44+46+17+23.5+31+45.4</f>
        <v>250.25</v>
      </c>
      <c r="I86" s="66">
        <f t="shared" si="23"/>
        <v>292.25</v>
      </c>
      <c r="J86" s="70">
        <f t="shared" si="20"/>
        <v>0</v>
      </c>
      <c r="K86" s="71"/>
      <c r="L86" s="135"/>
    </row>
    <row r="87" spans="1:12">
      <c r="A87" s="106" t="s">
        <v>7</v>
      </c>
      <c r="B87" s="107">
        <v>40411</v>
      </c>
      <c r="C87" s="108"/>
      <c r="D87" s="108"/>
      <c r="E87" s="109">
        <f t="shared" si="19"/>
        <v>0</v>
      </c>
      <c r="F87" s="108"/>
      <c r="G87" s="108"/>
      <c r="H87" s="108"/>
      <c r="I87" s="109">
        <f t="shared" ref="I87" si="24">SUM(F87:H87)</f>
        <v>0</v>
      </c>
      <c r="J87" s="110">
        <f t="shared" si="20"/>
        <v>0</v>
      </c>
      <c r="K87" s="104">
        <f>SUM(I83:I87)</f>
        <v>597.75</v>
      </c>
      <c r="L87" s="134"/>
    </row>
    <row r="88" spans="1:12">
      <c r="A88" s="97" t="s">
        <v>4</v>
      </c>
      <c r="B88" s="85">
        <v>40414</v>
      </c>
      <c r="C88" s="86">
        <f>I88-D88</f>
        <v>83.5</v>
      </c>
      <c r="D88" s="86">
        <v>13.45</v>
      </c>
      <c r="E88" s="66">
        <f t="shared" si="19"/>
        <v>96.95</v>
      </c>
      <c r="F88" s="86">
        <f>10+14</f>
        <v>24</v>
      </c>
      <c r="G88" s="86"/>
      <c r="H88" s="86">
        <f>38+34.95</f>
        <v>72.95</v>
      </c>
      <c r="I88" s="66">
        <f>SUM(F88:H88)</f>
        <v>96.95</v>
      </c>
      <c r="J88" s="70">
        <f t="shared" si="20"/>
        <v>0</v>
      </c>
      <c r="K88" s="71"/>
      <c r="L88" s="135"/>
    </row>
    <row r="89" spans="1:12">
      <c r="A89" s="97" t="s">
        <v>5</v>
      </c>
      <c r="B89" s="85">
        <v>40415</v>
      </c>
      <c r="C89" s="86">
        <v>188</v>
      </c>
      <c r="D89" s="86"/>
      <c r="E89" s="66">
        <f t="shared" si="19"/>
        <v>188</v>
      </c>
      <c r="F89" s="86">
        <f>30+14+16</f>
        <v>60</v>
      </c>
      <c r="G89" s="86">
        <f>15+50.5</f>
        <v>65.5</v>
      </c>
      <c r="H89" s="86">
        <f>30.5+32</f>
        <v>62.5</v>
      </c>
      <c r="I89" s="66">
        <f>SUM(F89:H89)</f>
        <v>188</v>
      </c>
      <c r="J89" s="70">
        <f t="shared" si="20"/>
        <v>0</v>
      </c>
      <c r="K89" s="71"/>
    </row>
    <row r="90" spans="1:12">
      <c r="A90" s="111" t="s">
        <v>8</v>
      </c>
      <c r="B90" s="85">
        <v>40416</v>
      </c>
      <c r="C90" s="105">
        <v>106</v>
      </c>
      <c r="D90" s="105"/>
      <c r="E90" s="66">
        <f t="shared" si="19"/>
        <v>106</v>
      </c>
      <c r="F90" s="105">
        <v>11</v>
      </c>
      <c r="G90" s="105"/>
      <c r="H90" s="105">
        <f>51+44</f>
        <v>95</v>
      </c>
      <c r="I90" s="66">
        <f t="shared" ref="I90:I93" si="25">SUM(F90:H90)</f>
        <v>106</v>
      </c>
      <c r="J90" s="112">
        <f t="shared" si="20"/>
        <v>0</v>
      </c>
      <c r="K90" s="71"/>
    </row>
    <row r="91" spans="1:12">
      <c r="A91" s="111" t="s">
        <v>6</v>
      </c>
      <c r="B91" s="85">
        <v>40417</v>
      </c>
      <c r="C91" s="105">
        <v>186.5</v>
      </c>
      <c r="D91" s="105"/>
      <c r="E91" s="66">
        <f t="shared" si="19"/>
        <v>186.5</v>
      </c>
      <c r="F91" s="105">
        <v>10</v>
      </c>
      <c r="G91" s="105">
        <f>32.5+32.5+32</f>
        <v>97</v>
      </c>
      <c r="H91" s="105">
        <f>21.5+28+16+14</f>
        <v>79.5</v>
      </c>
      <c r="I91" s="66">
        <f t="shared" si="25"/>
        <v>186.5</v>
      </c>
      <c r="J91" s="112">
        <f t="shared" si="20"/>
        <v>0</v>
      </c>
      <c r="K91" s="71"/>
    </row>
    <row r="92" spans="1:12">
      <c r="A92" s="106" t="s">
        <v>7</v>
      </c>
      <c r="B92" s="85">
        <v>40418</v>
      </c>
      <c r="C92" s="95">
        <v>64.2</v>
      </c>
      <c r="D92" s="95">
        <v>9.3000000000000007</v>
      </c>
      <c r="E92" s="68">
        <f t="shared" si="19"/>
        <v>73.5</v>
      </c>
      <c r="F92" s="95"/>
      <c r="G92" s="95">
        <v>30.5</v>
      </c>
      <c r="H92" s="95">
        <f>15+28</f>
        <v>43</v>
      </c>
      <c r="I92" s="68">
        <f t="shared" si="25"/>
        <v>73.5</v>
      </c>
      <c r="J92" s="113">
        <f t="shared" si="20"/>
        <v>0</v>
      </c>
      <c r="K92" s="104">
        <f>SUM(I88:I92)</f>
        <v>650.95000000000005</v>
      </c>
    </row>
    <row r="93" spans="1:12">
      <c r="A93" s="114" t="s">
        <v>10</v>
      </c>
      <c r="B93" s="115">
        <v>40421</v>
      </c>
      <c r="C93" s="105">
        <v>147</v>
      </c>
      <c r="D93" s="105"/>
      <c r="E93" s="66">
        <f t="shared" si="19"/>
        <v>147</v>
      </c>
      <c r="F93" s="105">
        <f>14+14</f>
        <v>28</v>
      </c>
      <c r="G93" s="105">
        <f>14+16+30</f>
        <v>60</v>
      </c>
      <c r="H93" s="105">
        <f>21.5+37.5</f>
        <v>59</v>
      </c>
      <c r="I93" s="66">
        <f t="shared" si="25"/>
        <v>147</v>
      </c>
      <c r="J93" s="112">
        <f t="shared" si="20"/>
        <v>0</v>
      </c>
      <c r="K93" s="116">
        <f>+I93</f>
        <v>147</v>
      </c>
    </row>
    <row r="94" spans="1:12" ht="19" thickBot="1">
      <c r="A94" s="80" t="s">
        <v>9</v>
      </c>
      <c r="B94" s="100" t="str">
        <f>A72</f>
        <v>AOUT</v>
      </c>
      <c r="C94" s="101">
        <f t="shared" ref="C94:K94" si="26">SUM(C73:C93)</f>
        <v>2959</v>
      </c>
      <c r="D94" s="101">
        <f t="shared" si="26"/>
        <v>136.39999999999998</v>
      </c>
      <c r="E94" s="69">
        <f t="shared" si="26"/>
        <v>3095.3999999999996</v>
      </c>
      <c r="F94" s="101">
        <f t="shared" si="26"/>
        <v>556.95000000000005</v>
      </c>
      <c r="G94" s="101">
        <f t="shared" si="26"/>
        <v>1007</v>
      </c>
      <c r="H94" s="101">
        <f t="shared" si="26"/>
        <v>1531.45</v>
      </c>
      <c r="I94" s="69">
        <f t="shared" si="26"/>
        <v>3095.3999999999996</v>
      </c>
      <c r="J94" s="78">
        <f t="shared" si="26"/>
        <v>0</v>
      </c>
      <c r="K94" s="102">
        <f t="shared" si="26"/>
        <v>3095.3999999999996</v>
      </c>
      <c r="L94" s="83" t="s">
        <v>37</v>
      </c>
    </row>
    <row r="95" spans="1:12" ht="15" thickBot="1">
      <c r="A95" s="54"/>
      <c r="B95" s="55"/>
      <c r="C95" s="56"/>
      <c r="D95" s="56"/>
      <c r="E95" s="57"/>
      <c r="F95" s="58"/>
      <c r="G95" s="56"/>
      <c r="H95" s="56"/>
      <c r="I95" s="57"/>
      <c r="J95" s="59"/>
      <c r="K95" s="57"/>
      <c r="L95" s="123"/>
    </row>
    <row r="96" spans="1:12" ht="18">
      <c r="A96" s="138" t="s">
        <v>23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40"/>
    </row>
    <row r="97" spans="1:12">
      <c r="A97" s="97" t="s">
        <v>4</v>
      </c>
      <c r="B97" s="85">
        <v>40422</v>
      </c>
      <c r="C97" s="44">
        <f>I97-D97</f>
        <v>96.5</v>
      </c>
      <c r="D97" s="44">
        <f>10.9+10.9</f>
        <v>21.8</v>
      </c>
      <c r="E97" s="66">
        <v>118.3</v>
      </c>
      <c r="F97" s="44">
        <v>15</v>
      </c>
      <c r="G97" s="44"/>
      <c r="H97" s="44">
        <f>17+17+49.8+19.5</f>
        <v>103.3</v>
      </c>
      <c r="I97" s="66">
        <f t="shared" ref="I97:I117" si="27">SUM(F97:H97)</f>
        <v>118.3</v>
      </c>
      <c r="J97" s="70">
        <f t="shared" ref="J97:J119" si="28">E97-I97</f>
        <v>0</v>
      </c>
      <c r="K97" s="71"/>
    </row>
    <row r="98" spans="1:12">
      <c r="A98" s="97" t="s">
        <v>5</v>
      </c>
      <c r="B98" s="85">
        <v>40423</v>
      </c>
      <c r="C98" s="44">
        <v>102</v>
      </c>
      <c r="D98" s="44"/>
      <c r="E98" s="66">
        <f>+C98+D98</f>
        <v>102</v>
      </c>
      <c r="F98" s="44">
        <f>24+5+5</f>
        <v>34</v>
      </c>
      <c r="G98" s="44"/>
      <c r="H98" s="44">
        <v>68</v>
      </c>
      <c r="I98" s="66">
        <f t="shared" si="27"/>
        <v>102</v>
      </c>
      <c r="J98" s="70">
        <f t="shared" si="28"/>
        <v>0</v>
      </c>
      <c r="K98" s="71"/>
    </row>
    <row r="99" spans="1:12">
      <c r="A99" s="97" t="s">
        <v>8</v>
      </c>
      <c r="B99" s="85">
        <v>40424</v>
      </c>
      <c r="C99" s="44">
        <v>325.60000000000002</v>
      </c>
      <c r="D99" s="44"/>
      <c r="E99" s="66">
        <f t="shared" ref="E99" si="29">+C99+D99</f>
        <v>325.60000000000002</v>
      </c>
      <c r="F99" s="44">
        <f>17+14</f>
        <v>31</v>
      </c>
      <c r="G99" s="44">
        <f>35.5+39+39.95</f>
        <v>114.45</v>
      </c>
      <c r="H99" s="44">
        <f>26.65+38+50.5+19.5+24+21.5</f>
        <v>180.15</v>
      </c>
      <c r="I99" s="66">
        <f t="shared" si="27"/>
        <v>325.60000000000002</v>
      </c>
      <c r="J99" s="70">
        <f t="shared" si="28"/>
        <v>0</v>
      </c>
      <c r="K99" s="71"/>
    </row>
    <row r="100" spans="1:12">
      <c r="A100" s="106" t="s">
        <v>7</v>
      </c>
      <c r="B100" s="94">
        <v>40425</v>
      </c>
      <c r="C100" s="49"/>
      <c r="D100" s="49"/>
      <c r="E100" s="68">
        <f>C100+D100</f>
        <v>0</v>
      </c>
      <c r="F100" s="49"/>
      <c r="G100" s="49"/>
      <c r="H100" s="49"/>
      <c r="I100" s="68">
        <f t="shared" si="27"/>
        <v>0</v>
      </c>
      <c r="J100" s="74">
        <f t="shared" si="28"/>
        <v>0</v>
      </c>
      <c r="K100" s="104">
        <f>SUM(I97:I100)</f>
        <v>545.90000000000009</v>
      </c>
      <c r="L100" s="132" t="s">
        <v>36</v>
      </c>
    </row>
    <row r="101" spans="1:12">
      <c r="A101" s="97" t="s">
        <v>28</v>
      </c>
      <c r="B101" s="85">
        <v>40427</v>
      </c>
      <c r="C101" s="44"/>
      <c r="D101" s="44"/>
      <c r="E101" s="66">
        <f t="shared" ref="E101:E119" si="30">C101+D101</f>
        <v>0</v>
      </c>
      <c r="F101" s="44"/>
      <c r="G101" s="44"/>
      <c r="H101" s="44"/>
      <c r="I101" s="66">
        <f t="shared" si="27"/>
        <v>0</v>
      </c>
      <c r="J101" s="70">
        <f t="shared" si="28"/>
        <v>0</v>
      </c>
      <c r="K101" s="71"/>
    </row>
    <row r="102" spans="1:12">
      <c r="A102" s="97" t="s">
        <v>4</v>
      </c>
      <c r="B102" s="85">
        <v>40428</v>
      </c>
      <c r="C102" s="44"/>
      <c r="D102" s="44"/>
      <c r="E102" s="66">
        <f t="shared" si="30"/>
        <v>0</v>
      </c>
      <c r="F102" s="44"/>
      <c r="G102" s="44"/>
      <c r="H102" s="44"/>
      <c r="I102" s="66">
        <f t="shared" si="27"/>
        <v>0</v>
      </c>
      <c r="J102" s="70">
        <f t="shared" si="28"/>
        <v>0</v>
      </c>
      <c r="K102" s="71"/>
    </row>
    <row r="103" spans="1:12">
      <c r="A103" s="97" t="s">
        <v>5</v>
      </c>
      <c r="B103" s="85">
        <v>40429</v>
      </c>
      <c r="C103" s="44"/>
      <c r="D103" s="44"/>
      <c r="E103" s="66">
        <f t="shared" si="30"/>
        <v>0</v>
      </c>
      <c r="F103" s="44"/>
      <c r="G103" s="44"/>
      <c r="H103" s="44"/>
      <c r="I103" s="118">
        <f t="shared" si="27"/>
        <v>0</v>
      </c>
      <c r="J103" s="70">
        <f t="shared" si="28"/>
        <v>0</v>
      </c>
      <c r="K103" s="71"/>
    </row>
    <row r="104" spans="1:12">
      <c r="A104" s="97" t="s">
        <v>8</v>
      </c>
      <c r="B104" s="85">
        <v>40430</v>
      </c>
      <c r="C104" s="44"/>
      <c r="D104" s="44"/>
      <c r="E104" s="66">
        <f t="shared" si="30"/>
        <v>0</v>
      </c>
      <c r="F104" s="44"/>
      <c r="G104" s="44"/>
      <c r="H104" s="44"/>
      <c r="I104" s="66">
        <f t="shared" si="27"/>
        <v>0</v>
      </c>
      <c r="J104" s="70">
        <f t="shared" si="28"/>
        <v>0</v>
      </c>
      <c r="K104" s="71"/>
    </row>
    <row r="105" spans="1:12">
      <c r="A105" s="97" t="s">
        <v>6</v>
      </c>
      <c r="B105" s="85">
        <v>40431</v>
      </c>
      <c r="C105" s="44"/>
      <c r="D105" s="44"/>
      <c r="E105" s="66">
        <f t="shared" si="30"/>
        <v>0</v>
      </c>
      <c r="F105" s="44"/>
      <c r="G105" s="44"/>
      <c r="H105" s="44"/>
      <c r="I105" s="66">
        <f t="shared" si="27"/>
        <v>0</v>
      </c>
      <c r="J105" s="70">
        <f t="shared" si="28"/>
        <v>0</v>
      </c>
      <c r="K105" s="71"/>
    </row>
    <row r="106" spans="1:12">
      <c r="A106" s="106" t="s">
        <v>7</v>
      </c>
      <c r="B106" s="92">
        <v>40432</v>
      </c>
      <c r="C106" s="60"/>
      <c r="D106" s="60"/>
      <c r="E106" s="76">
        <f t="shared" si="30"/>
        <v>0</v>
      </c>
      <c r="F106" s="60"/>
      <c r="G106" s="60"/>
      <c r="H106" s="60"/>
      <c r="I106" s="76">
        <f t="shared" si="27"/>
        <v>0</v>
      </c>
      <c r="J106" s="74">
        <f t="shared" si="28"/>
        <v>0</v>
      </c>
      <c r="K106" s="104">
        <f>SUM(I101:I106)</f>
        <v>0</v>
      </c>
      <c r="L106" s="136" t="s">
        <v>36</v>
      </c>
    </row>
    <row r="107" spans="1:12">
      <c r="A107" s="97" t="s">
        <v>4</v>
      </c>
      <c r="B107" s="85">
        <v>40435</v>
      </c>
      <c r="C107" s="86">
        <v>126.5</v>
      </c>
      <c r="D107" s="86"/>
      <c r="E107" s="66">
        <f t="shared" si="30"/>
        <v>126.5</v>
      </c>
      <c r="F107" s="86">
        <f>15+14+16</f>
        <v>45</v>
      </c>
      <c r="G107" s="86"/>
      <c r="H107" s="86">
        <f>16+37.5+14+14</f>
        <v>81.5</v>
      </c>
      <c r="I107" s="66">
        <f t="shared" si="27"/>
        <v>126.5</v>
      </c>
      <c r="J107" s="70">
        <f t="shared" si="28"/>
        <v>0</v>
      </c>
      <c r="K107" s="71"/>
    </row>
    <row r="108" spans="1:12">
      <c r="A108" s="97" t="s">
        <v>5</v>
      </c>
      <c r="B108" s="85">
        <v>40436</v>
      </c>
      <c r="C108" s="86">
        <v>182</v>
      </c>
      <c r="D108" s="86"/>
      <c r="E108" s="66">
        <f t="shared" si="30"/>
        <v>182</v>
      </c>
      <c r="F108" s="86"/>
      <c r="G108" s="86">
        <f>28+62</f>
        <v>90</v>
      </c>
      <c r="H108" s="86">
        <f>32+21.5+38.5</f>
        <v>92</v>
      </c>
      <c r="I108" s="66">
        <f t="shared" si="27"/>
        <v>182</v>
      </c>
      <c r="J108" s="70">
        <f t="shared" si="28"/>
        <v>0</v>
      </c>
      <c r="K108" s="71"/>
    </row>
    <row r="109" spans="1:12">
      <c r="A109" s="97" t="s">
        <v>8</v>
      </c>
      <c r="B109" s="85">
        <v>40437</v>
      </c>
      <c r="C109" s="86">
        <v>132.5</v>
      </c>
      <c r="D109" s="86"/>
      <c r="E109" s="66">
        <f t="shared" si="30"/>
        <v>132.5</v>
      </c>
      <c r="F109" s="86">
        <f>32.5+5+11+24+15</f>
        <v>87.5</v>
      </c>
      <c r="G109" s="86"/>
      <c r="H109" s="86">
        <f>45</f>
        <v>45</v>
      </c>
      <c r="I109" s="66">
        <f t="shared" si="27"/>
        <v>132.5</v>
      </c>
      <c r="J109" s="70">
        <f t="shared" si="28"/>
        <v>0</v>
      </c>
      <c r="K109" s="71"/>
    </row>
    <row r="110" spans="1:12">
      <c r="A110" s="97" t="s">
        <v>6</v>
      </c>
      <c r="B110" s="85">
        <v>40438</v>
      </c>
      <c r="C110" s="86">
        <v>253</v>
      </c>
      <c r="D110" s="86"/>
      <c r="E110" s="66">
        <f t="shared" si="30"/>
        <v>253</v>
      </c>
      <c r="F110" s="86">
        <f>46+28</f>
        <v>74</v>
      </c>
      <c r="G110" s="86">
        <f>28+21</f>
        <v>49</v>
      </c>
      <c r="H110" s="86">
        <f>17+14+33+14+28+24</f>
        <v>130</v>
      </c>
      <c r="I110" s="66">
        <f t="shared" si="27"/>
        <v>253</v>
      </c>
      <c r="J110" s="70">
        <f t="shared" si="28"/>
        <v>0</v>
      </c>
      <c r="K110" s="71"/>
    </row>
    <row r="111" spans="1:12">
      <c r="A111" s="106" t="s">
        <v>7</v>
      </c>
      <c r="B111" s="94">
        <v>40439</v>
      </c>
      <c r="C111" s="93">
        <v>68.5</v>
      </c>
      <c r="D111" s="93">
        <v>14.4</v>
      </c>
      <c r="E111" s="68">
        <f t="shared" si="30"/>
        <v>82.9</v>
      </c>
      <c r="F111" s="93">
        <v>14.4</v>
      </c>
      <c r="G111" s="93">
        <f>30.5+14</f>
        <v>44.5</v>
      </c>
      <c r="H111" s="93">
        <v>24</v>
      </c>
      <c r="I111" s="68">
        <f t="shared" si="27"/>
        <v>82.9</v>
      </c>
      <c r="J111" s="74">
        <f t="shared" si="28"/>
        <v>0</v>
      </c>
      <c r="K111" s="104">
        <f>SUM(I107:I111)</f>
        <v>776.9</v>
      </c>
      <c r="L111" s="133" t="s">
        <v>11</v>
      </c>
    </row>
    <row r="112" spans="1:12">
      <c r="A112" s="97" t="s">
        <v>4</v>
      </c>
      <c r="B112" s="85">
        <v>40442</v>
      </c>
      <c r="C112" s="86">
        <v>127.5</v>
      </c>
      <c r="D112" s="86"/>
      <c r="E112" s="66">
        <f t="shared" si="30"/>
        <v>127.5</v>
      </c>
      <c r="F112" s="86">
        <v>28</v>
      </c>
      <c r="G112" s="86">
        <f>14+34</f>
        <v>48</v>
      </c>
      <c r="H112" s="86">
        <v>51.5</v>
      </c>
      <c r="I112" s="66">
        <f t="shared" si="27"/>
        <v>127.5</v>
      </c>
      <c r="J112" s="70">
        <f t="shared" si="28"/>
        <v>0</v>
      </c>
      <c r="K112" s="71"/>
      <c r="L112" s="137"/>
    </row>
    <row r="113" spans="1:12">
      <c r="A113" s="97" t="s">
        <v>5</v>
      </c>
      <c r="B113" s="85">
        <v>40443</v>
      </c>
      <c r="C113" s="86">
        <v>108.5</v>
      </c>
      <c r="D113" s="86"/>
      <c r="E113" s="66">
        <f t="shared" si="30"/>
        <v>108.5</v>
      </c>
      <c r="F113" s="86">
        <f>14+11</f>
        <v>25</v>
      </c>
      <c r="G113" s="86"/>
      <c r="H113" s="86">
        <f>21.5+11+51</f>
        <v>83.5</v>
      </c>
      <c r="I113" s="66">
        <f t="shared" si="27"/>
        <v>108.5</v>
      </c>
      <c r="J113" s="70">
        <f t="shared" si="28"/>
        <v>0</v>
      </c>
      <c r="K113" s="71"/>
      <c r="L113" s="137"/>
    </row>
    <row r="114" spans="1:12">
      <c r="A114" s="97" t="s">
        <v>8</v>
      </c>
      <c r="B114" s="85">
        <v>40444</v>
      </c>
      <c r="C114" s="105">
        <v>114.5</v>
      </c>
      <c r="D114" s="105"/>
      <c r="E114" s="66">
        <f>C114+D114</f>
        <v>114.5</v>
      </c>
      <c r="F114" s="105">
        <v>41.5</v>
      </c>
      <c r="G114" s="105">
        <v>56</v>
      </c>
      <c r="H114" s="105">
        <v>17</v>
      </c>
      <c r="I114" s="66">
        <f t="shared" si="27"/>
        <v>114.5</v>
      </c>
      <c r="J114" s="112">
        <f t="shared" si="28"/>
        <v>0</v>
      </c>
      <c r="K114" s="71"/>
      <c r="L114" s="137"/>
    </row>
    <row r="115" spans="1:12">
      <c r="A115" s="97" t="s">
        <v>6</v>
      </c>
      <c r="B115" s="85">
        <v>40445</v>
      </c>
      <c r="C115" s="105">
        <v>262.89999999999998</v>
      </c>
      <c r="D115" s="105"/>
      <c r="E115" s="66">
        <f t="shared" si="30"/>
        <v>262.89999999999998</v>
      </c>
      <c r="F115" s="105"/>
      <c r="G115" s="105">
        <f>19.5+49+32</f>
        <v>100.5</v>
      </c>
      <c r="H115" s="105">
        <f>17+33+32.5+65.9+14</f>
        <v>162.4</v>
      </c>
      <c r="I115" s="66">
        <f t="shared" si="27"/>
        <v>262.89999999999998</v>
      </c>
      <c r="J115" s="112">
        <f t="shared" si="28"/>
        <v>0</v>
      </c>
      <c r="K115" s="71"/>
      <c r="L115" s="137"/>
    </row>
    <row r="116" spans="1:12">
      <c r="A116" s="106" t="s">
        <v>7</v>
      </c>
      <c r="B116" s="94">
        <v>40446</v>
      </c>
      <c r="C116" s="95">
        <v>92.5</v>
      </c>
      <c r="D116" s="95"/>
      <c r="E116" s="68">
        <f t="shared" si="30"/>
        <v>92.5</v>
      </c>
      <c r="F116" s="95"/>
      <c r="G116" s="95">
        <v>28</v>
      </c>
      <c r="H116" s="95">
        <f>17+47.5</f>
        <v>64.5</v>
      </c>
      <c r="I116" s="68">
        <f t="shared" si="27"/>
        <v>92.5</v>
      </c>
      <c r="J116" s="113">
        <f t="shared" si="28"/>
        <v>0</v>
      </c>
      <c r="K116" s="104">
        <f>SUM(I112:I116)</f>
        <v>705.9</v>
      </c>
      <c r="L116" s="133" t="s">
        <v>11</v>
      </c>
    </row>
    <row r="117" spans="1:12">
      <c r="A117" s="97" t="s">
        <v>4</v>
      </c>
      <c r="B117" s="85">
        <v>40449</v>
      </c>
      <c r="C117" s="105">
        <v>144</v>
      </c>
      <c r="D117" s="105"/>
      <c r="E117" s="66">
        <f t="shared" si="30"/>
        <v>144</v>
      </c>
      <c r="F117" s="105">
        <f>14+14+14+14</f>
        <v>56</v>
      </c>
      <c r="G117" s="105">
        <f>32+14+42</f>
        <v>88</v>
      </c>
      <c r="H117" s="105"/>
      <c r="I117" s="66">
        <f t="shared" si="27"/>
        <v>144</v>
      </c>
      <c r="J117" s="112">
        <f t="shared" si="28"/>
        <v>0</v>
      </c>
      <c r="K117" s="71"/>
    </row>
    <row r="118" spans="1:12">
      <c r="A118" s="97" t="s">
        <v>5</v>
      </c>
      <c r="B118" s="85">
        <v>40450</v>
      </c>
      <c r="C118" s="105">
        <v>192</v>
      </c>
      <c r="D118" s="105"/>
      <c r="E118" s="66">
        <f t="shared" si="30"/>
        <v>192</v>
      </c>
      <c r="F118" s="105">
        <f>10+14</f>
        <v>24</v>
      </c>
      <c r="G118" s="105">
        <f>14+32.5+38+53</f>
        <v>137.5</v>
      </c>
      <c r="H118" s="105">
        <v>30.5</v>
      </c>
      <c r="I118" s="66">
        <f t="shared" ref="I118:I119" si="31">SUM(F118:H118)</f>
        <v>192</v>
      </c>
      <c r="J118" s="112">
        <f t="shared" si="28"/>
        <v>0</v>
      </c>
      <c r="K118" s="71"/>
    </row>
    <row r="119" spans="1:12">
      <c r="A119" s="106" t="s">
        <v>7</v>
      </c>
      <c r="B119" s="94">
        <v>40451</v>
      </c>
      <c r="C119" s="95">
        <v>138.5</v>
      </c>
      <c r="D119" s="95">
        <v>8.5</v>
      </c>
      <c r="E119" s="68">
        <f t="shared" si="30"/>
        <v>147</v>
      </c>
      <c r="F119" s="95">
        <v>58.5</v>
      </c>
      <c r="G119" s="95">
        <v>88.5</v>
      </c>
      <c r="H119" s="95"/>
      <c r="I119" s="68">
        <f t="shared" si="31"/>
        <v>147</v>
      </c>
      <c r="J119" s="113">
        <f t="shared" si="28"/>
        <v>0</v>
      </c>
      <c r="K119" s="104">
        <f>SUM(I117:I119)</f>
        <v>483</v>
      </c>
      <c r="L119" s="133" t="s">
        <v>11</v>
      </c>
    </row>
    <row r="120" spans="1:12" ht="15" thickBot="1">
      <c r="A120" s="80" t="s">
        <v>9</v>
      </c>
      <c r="B120" s="117" t="str">
        <f>+A96</f>
        <v>SEPTEMBRE</v>
      </c>
      <c r="C120" s="101">
        <f t="shared" ref="C120:I120" si="32">SUM(C97:C119)</f>
        <v>2467</v>
      </c>
      <c r="D120" s="101">
        <f t="shared" si="32"/>
        <v>44.7</v>
      </c>
      <c r="E120" s="103">
        <f t="shared" si="32"/>
        <v>2511.7000000000003</v>
      </c>
      <c r="F120" s="101">
        <f t="shared" si="32"/>
        <v>533.9</v>
      </c>
      <c r="G120" s="101">
        <f t="shared" si="32"/>
        <v>844.45</v>
      </c>
      <c r="H120" s="101">
        <f t="shared" si="32"/>
        <v>1133.3500000000001</v>
      </c>
      <c r="I120" s="103">
        <f t="shared" si="32"/>
        <v>2511.7000000000003</v>
      </c>
      <c r="J120" s="78">
        <f>SUM(J100:J118)</f>
        <v>0</v>
      </c>
      <c r="K120" s="102">
        <f>SUM(K100:K119)</f>
        <v>2511.7000000000003</v>
      </c>
      <c r="L120" s="134"/>
    </row>
    <row r="121" spans="1:12" ht="15" thickBot="1">
      <c r="A121" s="31"/>
      <c r="B121" s="61"/>
      <c r="C121" s="37"/>
      <c r="D121" s="37"/>
      <c r="E121" s="37"/>
      <c r="F121" s="37"/>
      <c r="G121" s="37"/>
      <c r="H121" s="37"/>
      <c r="I121" s="37"/>
      <c r="J121" s="39"/>
      <c r="K121" s="37"/>
    </row>
    <row r="122" spans="1:12" ht="18">
      <c r="A122" s="138" t="s">
        <v>24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40"/>
    </row>
    <row r="123" spans="1:12">
      <c r="A123" s="97" t="s">
        <v>29</v>
      </c>
      <c r="B123" s="85">
        <v>40452</v>
      </c>
      <c r="C123" s="86">
        <v>214.5</v>
      </c>
      <c r="D123" s="86"/>
      <c r="E123" s="66">
        <f>C123+D123</f>
        <v>214.5</v>
      </c>
      <c r="F123" s="86">
        <v>7</v>
      </c>
      <c r="G123" s="86">
        <f>19.5+14+17+14</f>
        <v>64.5</v>
      </c>
      <c r="H123" s="86">
        <f>32.5+33+28+28+21.5</f>
        <v>143</v>
      </c>
      <c r="I123" s="66">
        <f t="shared" ref="I123:I145" si="33">SUM(F123:H123)</f>
        <v>214.5</v>
      </c>
      <c r="J123" s="70">
        <f t="shared" ref="J123:J145" si="34">E123-I123</f>
        <v>0</v>
      </c>
      <c r="K123" s="71"/>
    </row>
    <row r="124" spans="1:12">
      <c r="A124" s="106" t="s">
        <v>30</v>
      </c>
      <c r="B124" s="107">
        <v>40453</v>
      </c>
      <c r="C124" s="108"/>
      <c r="D124" s="108"/>
      <c r="E124" s="109">
        <f t="shared" ref="E124:E145" si="35">C124+D124</f>
        <v>0</v>
      </c>
      <c r="F124" s="108"/>
      <c r="G124" s="108"/>
      <c r="H124" s="108"/>
      <c r="I124" s="109">
        <v>0</v>
      </c>
      <c r="J124" s="110">
        <f t="shared" si="34"/>
        <v>0</v>
      </c>
      <c r="K124" s="104">
        <f>SUM(I123:I124)</f>
        <v>214.5</v>
      </c>
      <c r="L124" s="133" t="s">
        <v>11</v>
      </c>
    </row>
    <row r="125" spans="1:12">
      <c r="A125" s="97" t="s">
        <v>31</v>
      </c>
      <c r="B125" s="85">
        <v>40456</v>
      </c>
      <c r="C125" s="86">
        <f>I125-D125</f>
        <v>159</v>
      </c>
      <c r="D125" s="86">
        <v>8.5</v>
      </c>
      <c r="E125" s="66">
        <f t="shared" si="35"/>
        <v>167.5</v>
      </c>
      <c r="F125" s="86">
        <f>14+48.5</f>
        <v>62.5</v>
      </c>
      <c r="G125" s="86">
        <f>14+16</f>
        <v>30</v>
      </c>
      <c r="H125" s="86">
        <f>22+39+14</f>
        <v>75</v>
      </c>
      <c r="I125" s="66">
        <f t="shared" si="33"/>
        <v>167.5</v>
      </c>
      <c r="J125" s="70">
        <f t="shared" si="34"/>
        <v>0</v>
      </c>
      <c r="K125" s="71"/>
    </row>
    <row r="126" spans="1:12">
      <c r="A126" s="97" t="s">
        <v>32</v>
      </c>
      <c r="B126" s="85">
        <v>40457</v>
      </c>
      <c r="C126" s="86">
        <v>187</v>
      </c>
      <c r="D126" s="86">
        <v>10</v>
      </c>
      <c r="E126" s="66">
        <f t="shared" si="35"/>
        <v>197</v>
      </c>
      <c r="F126" s="86">
        <v>52</v>
      </c>
      <c r="G126" s="86">
        <f>16+63+38</f>
        <v>117</v>
      </c>
      <c r="H126" s="86">
        <v>28</v>
      </c>
      <c r="I126" s="66">
        <f t="shared" si="33"/>
        <v>197</v>
      </c>
      <c r="J126" s="70">
        <f t="shared" si="34"/>
        <v>0</v>
      </c>
      <c r="K126" s="71"/>
    </row>
    <row r="127" spans="1:12">
      <c r="A127" s="97" t="s">
        <v>33</v>
      </c>
      <c r="B127" s="85">
        <v>40458</v>
      </c>
      <c r="C127" s="86">
        <v>126.5</v>
      </c>
      <c r="D127" s="86"/>
      <c r="E127" s="66">
        <f>C127+D127</f>
        <v>126.5</v>
      </c>
      <c r="F127" s="86">
        <f>32.5+24</f>
        <v>56.5</v>
      </c>
      <c r="G127" s="86">
        <v>18</v>
      </c>
      <c r="H127" s="86">
        <v>52</v>
      </c>
      <c r="I127" s="66">
        <f t="shared" si="33"/>
        <v>126.5</v>
      </c>
      <c r="J127" s="70">
        <f t="shared" si="34"/>
        <v>0</v>
      </c>
      <c r="K127" s="71"/>
    </row>
    <row r="128" spans="1:12">
      <c r="A128" s="97" t="s">
        <v>29</v>
      </c>
      <c r="B128" s="85">
        <v>40459</v>
      </c>
      <c r="C128" s="86">
        <v>154</v>
      </c>
      <c r="D128" s="86"/>
      <c r="E128" s="66">
        <f t="shared" si="35"/>
        <v>154</v>
      </c>
      <c r="F128" s="86">
        <f>14+16</f>
        <v>30</v>
      </c>
      <c r="G128" s="86">
        <f>46</f>
        <v>46</v>
      </c>
      <c r="H128" s="86">
        <f>7+21.5+17+32.5</f>
        <v>78</v>
      </c>
      <c r="I128" s="66">
        <f t="shared" si="33"/>
        <v>154</v>
      </c>
      <c r="J128" s="70">
        <f t="shared" si="34"/>
        <v>0</v>
      </c>
      <c r="K128" s="71"/>
    </row>
    <row r="129" spans="1:12">
      <c r="A129" s="106" t="s">
        <v>30</v>
      </c>
      <c r="B129" s="94">
        <v>40460</v>
      </c>
      <c r="C129" s="93">
        <v>168</v>
      </c>
      <c r="D129" s="93"/>
      <c r="E129" s="68">
        <f t="shared" si="35"/>
        <v>168</v>
      </c>
      <c r="F129" s="93"/>
      <c r="G129" s="93">
        <f>50.5+19.5</f>
        <v>70</v>
      </c>
      <c r="H129" s="93">
        <f>15+24+59</f>
        <v>98</v>
      </c>
      <c r="I129" s="76">
        <f t="shared" si="33"/>
        <v>168</v>
      </c>
      <c r="J129" s="74">
        <f t="shared" si="34"/>
        <v>0</v>
      </c>
      <c r="K129" s="104">
        <f>SUM(I125:I129)</f>
        <v>813</v>
      </c>
      <c r="L129" s="133" t="s">
        <v>11</v>
      </c>
    </row>
    <row r="130" spans="1:12">
      <c r="A130" s="97" t="s">
        <v>31</v>
      </c>
      <c r="B130" s="85">
        <v>40463</v>
      </c>
      <c r="C130" s="44">
        <v>49</v>
      </c>
      <c r="D130" s="44"/>
      <c r="E130" s="66">
        <f t="shared" si="35"/>
        <v>49</v>
      </c>
      <c r="F130" s="44">
        <v>14</v>
      </c>
      <c r="G130" s="44">
        <v>35</v>
      </c>
      <c r="H130" s="44"/>
      <c r="I130" s="66">
        <f t="shared" si="33"/>
        <v>49</v>
      </c>
      <c r="J130" s="70">
        <f t="shared" si="34"/>
        <v>0</v>
      </c>
      <c r="K130" s="71"/>
    </row>
    <row r="131" spans="1:12">
      <c r="A131" s="97" t="s">
        <v>32</v>
      </c>
      <c r="B131" s="85">
        <v>40464</v>
      </c>
      <c r="C131" s="44">
        <v>146.5</v>
      </c>
      <c r="D131" s="44"/>
      <c r="E131" s="66">
        <f t="shared" si="35"/>
        <v>146.5</v>
      </c>
      <c r="F131" s="44">
        <v>14</v>
      </c>
      <c r="G131" s="44">
        <f>60+46</f>
        <v>106</v>
      </c>
      <c r="H131" s="44">
        <v>26.5</v>
      </c>
      <c r="I131" s="66">
        <f t="shared" si="33"/>
        <v>146.5</v>
      </c>
      <c r="J131" s="70">
        <f t="shared" si="34"/>
        <v>0</v>
      </c>
      <c r="K131" s="71"/>
    </row>
    <row r="132" spans="1:12">
      <c r="A132" s="97" t="s">
        <v>33</v>
      </c>
      <c r="B132" s="85">
        <v>40465</v>
      </c>
      <c r="C132" s="44">
        <v>145</v>
      </c>
      <c r="D132" s="44"/>
      <c r="E132" s="66">
        <f t="shared" si="35"/>
        <v>145</v>
      </c>
      <c r="F132" s="44">
        <v>5</v>
      </c>
      <c r="G132" s="44">
        <v>42</v>
      </c>
      <c r="H132" s="44">
        <f>70+28</f>
        <v>98</v>
      </c>
      <c r="I132" s="66">
        <f t="shared" si="33"/>
        <v>145</v>
      </c>
      <c r="J132" s="70">
        <f t="shared" si="34"/>
        <v>0</v>
      </c>
      <c r="K132" s="71"/>
    </row>
    <row r="133" spans="1:12">
      <c r="A133" s="97" t="s">
        <v>29</v>
      </c>
      <c r="B133" s="85">
        <v>40466</v>
      </c>
      <c r="C133" s="44">
        <f>I133-D133</f>
        <v>183</v>
      </c>
      <c r="D133" s="44">
        <v>9.3000000000000007</v>
      </c>
      <c r="E133" s="66">
        <f t="shared" si="35"/>
        <v>192.3</v>
      </c>
      <c r="F133" s="44">
        <v>52.3</v>
      </c>
      <c r="G133" s="44">
        <v>47</v>
      </c>
      <c r="H133" s="44">
        <f>15+56.5+21.5</f>
        <v>93</v>
      </c>
      <c r="I133" s="66">
        <f t="shared" si="33"/>
        <v>192.3</v>
      </c>
      <c r="J133" s="70">
        <f t="shared" si="34"/>
        <v>0</v>
      </c>
      <c r="K133" s="71"/>
    </row>
    <row r="134" spans="1:12">
      <c r="A134" s="106" t="s">
        <v>30</v>
      </c>
      <c r="B134" s="94">
        <v>40467</v>
      </c>
      <c r="C134" s="49">
        <v>97</v>
      </c>
      <c r="D134" s="49"/>
      <c r="E134" s="68">
        <f t="shared" si="35"/>
        <v>97</v>
      </c>
      <c r="F134" s="49">
        <v>14</v>
      </c>
      <c r="G134" s="49">
        <v>53</v>
      </c>
      <c r="H134" s="49">
        <v>30</v>
      </c>
      <c r="I134" s="68">
        <v>97</v>
      </c>
      <c r="J134" s="74">
        <f t="shared" si="34"/>
        <v>0</v>
      </c>
      <c r="K134" s="104">
        <f>SUM(I130:I134)</f>
        <v>629.79999999999995</v>
      </c>
    </row>
    <row r="135" spans="1:12">
      <c r="A135" s="97" t="s">
        <v>31</v>
      </c>
      <c r="B135" s="85">
        <v>40470</v>
      </c>
      <c r="C135" s="44">
        <v>124.5</v>
      </c>
      <c r="D135" s="44"/>
      <c r="E135" s="66">
        <f t="shared" si="35"/>
        <v>124.5</v>
      </c>
      <c r="F135" s="44">
        <v>46</v>
      </c>
      <c r="G135" s="44">
        <v>21.5</v>
      </c>
      <c r="H135" s="44">
        <f>46+11</f>
        <v>57</v>
      </c>
      <c r="I135" s="66">
        <f t="shared" si="33"/>
        <v>124.5</v>
      </c>
      <c r="J135" s="70">
        <f t="shared" si="34"/>
        <v>0</v>
      </c>
      <c r="K135" s="71"/>
    </row>
    <row r="136" spans="1:12">
      <c r="A136" s="97" t="s">
        <v>32</v>
      </c>
      <c r="B136" s="85">
        <v>40471</v>
      </c>
      <c r="C136" s="44">
        <v>96.5</v>
      </c>
      <c r="D136" s="44"/>
      <c r="E136" s="66">
        <f t="shared" si="35"/>
        <v>96.5</v>
      </c>
      <c r="F136" s="44">
        <v>14</v>
      </c>
      <c r="G136" s="44">
        <v>14</v>
      </c>
      <c r="H136" s="44">
        <f>40.5+14+14</f>
        <v>68.5</v>
      </c>
      <c r="I136" s="66">
        <f t="shared" si="33"/>
        <v>96.5</v>
      </c>
      <c r="J136" s="70">
        <f t="shared" si="34"/>
        <v>0</v>
      </c>
      <c r="K136" s="71"/>
    </row>
    <row r="137" spans="1:12">
      <c r="A137" s="97" t="s">
        <v>33</v>
      </c>
      <c r="B137" s="85">
        <v>40472</v>
      </c>
      <c r="C137" s="44">
        <f>I137-D137</f>
        <v>76</v>
      </c>
      <c r="D137" s="44">
        <v>14.4</v>
      </c>
      <c r="E137" s="66">
        <f t="shared" si="35"/>
        <v>90.4</v>
      </c>
      <c r="F137" s="44">
        <v>14</v>
      </c>
      <c r="G137" s="44"/>
      <c r="H137" s="44">
        <f>16+46.4+14</f>
        <v>76.400000000000006</v>
      </c>
      <c r="I137" s="66">
        <f t="shared" si="33"/>
        <v>90.4</v>
      </c>
      <c r="J137" s="70">
        <f t="shared" si="34"/>
        <v>0</v>
      </c>
      <c r="K137" s="71"/>
    </row>
    <row r="138" spans="1:12">
      <c r="A138" s="97" t="s">
        <v>29</v>
      </c>
      <c r="B138" s="85">
        <v>40473</v>
      </c>
      <c r="C138" s="44"/>
      <c r="D138" s="44"/>
      <c r="E138" s="66">
        <f t="shared" si="35"/>
        <v>0</v>
      </c>
      <c r="F138" s="44"/>
      <c r="G138" s="44"/>
      <c r="H138" s="44"/>
      <c r="I138" s="66">
        <f t="shared" si="33"/>
        <v>0</v>
      </c>
      <c r="J138" s="70">
        <f t="shared" si="34"/>
        <v>0</v>
      </c>
      <c r="K138" s="71"/>
    </row>
    <row r="139" spans="1:12">
      <c r="A139" s="106" t="s">
        <v>30</v>
      </c>
      <c r="B139" s="94">
        <v>40474</v>
      </c>
      <c r="C139" s="49"/>
      <c r="D139" s="49"/>
      <c r="E139" s="68">
        <f t="shared" si="35"/>
        <v>0</v>
      </c>
      <c r="F139" s="49"/>
      <c r="G139" s="49"/>
      <c r="H139" s="49"/>
      <c r="I139" s="68">
        <f t="shared" si="33"/>
        <v>0</v>
      </c>
      <c r="J139" s="74">
        <f t="shared" si="34"/>
        <v>0</v>
      </c>
      <c r="K139" s="104">
        <f>SUM(I135:I139)</f>
        <v>311.39999999999998</v>
      </c>
    </row>
    <row r="140" spans="1:12">
      <c r="A140" s="97" t="s">
        <v>34</v>
      </c>
      <c r="B140" s="85">
        <v>40476</v>
      </c>
      <c r="C140" s="44"/>
      <c r="D140" s="44"/>
      <c r="E140" s="66">
        <f t="shared" si="35"/>
        <v>0</v>
      </c>
      <c r="F140" s="44"/>
      <c r="G140" s="44"/>
      <c r="H140" s="44"/>
      <c r="I140" s="66">
        <f t="shared" si="33"/>
        <v>0</v>
      </c>
      <c r="J140" s="70">
        <f t="shared" si="34"/>
        <v>0</v>
      </c>
      <c r="K140" s="71"/>
    </row>
    <row r="141" spans="1:12">
      <c r="A141" s="97" t="s">
        <v>31</v>
      </c>
      <c r="B141" s="85">
        <v>40477</v>
      </c>
      <c r="C141" s="62">
        <v>142</v>
      </c>
      <c r="D141" s="62"/>
      <c r="E141" s="66">
        <f t="shared" si="35"/>
        <v>142</v>
      </c>
      <c r="F141" s="62">
        <v>55</v>
      </c>
      <c r="G141" s="62"/>
      <c r="H141" s="62">
        <v>87</v>
      </c>
      <c r="I141" s="66">
        <f t="shared" si="33"/>
        <v>142</v>
      </c>
      <c r="J141" s="112">
        <f t="shared" si="34"/>
        <v>0</v>
      </c>
      <c r="K141" s="71"/>
    </row>
    <row r="142" spans="1:12">
      <c r="A142" s="97" t="s">
        <v>32</v>
      </c>
      <c r="B142" s="85">
        <v>40478</v>
      </c>
      <c r="C142" s="62">
        <v>92.5</v>
      </c>
      <c r="D142" s="62"/>
      <c r="E142" s="66">
        <f t="shared" si="35"/>
        <v>92.5</v>
      </c>
      <c r="F142" s="62"/>
      <c r="G142" s="62">
        <v>60</v>
      </c>
      <c r="H142" s="62">
        <v>32.5</v>
      </c>
      <c r="I142" s="66">
        <f t="shared" si="33"/>
        <v>92.5</v>
      </c>
      <c r="J142" s="112">
        <f t="shared" si="34"/>
        <v>0</v>
      </c>
      <c r="K142" s="71"/>
    </row>
    <row r="143" spans="1:12">
      <c r="A143" s="97" t="s">
        <v>33</v>
      </c>
      <c r="B143" s="85">
        <v>40479</v>
      </c>
      <c r="C143" s="62">
        <v>106.5</v>
      </c>
      <c r="D143" s="62"/>
      <c r="E143" s="66">
        <f t="shared" si="35"/>
        <v>106.5</v>
      </c>
      <c r="F143" s="62">
        <v>26</v>
      </c>
      <c r="G143" s="62">
        <v>63.5</v>
      </c>
      <c r="H143" s="62">
        <v>17</v>
      </c>
      <c r="I143" s="66">
        <f t="shared" si="33"/>
        <v>106.5</v>
      </c>
      <c r="J143" s="112">
        <f t="shared" si="34"/>
        <v>0</v>
      </c>
      <c r="K143" s="71"/>
    </row>
    <row r="144" spans="1:12">
      <c r="A144" s="97" t="s">
        <v>29</v>
      </c>
      <c r="B144" s="85">
        <v>40480</v>
      </c>
      <c r="C144" s="62">
        <v>195.5</v>
      </c>
      <c r="D144" s="62">
        <v>8.5</v>
      </c>
      <c r="E144" s="66">
        <f t="shared" si="35"/>
        <v>204</v>
      </c>
      <c r="F144" s="62">
        <v>10</v>
      </c>
      <c r="G144" s="62">
        <v>104.5</v>
      </c>
      <c r="H144" s="62">
        <v>89.5</v>
      </c>
      <c r="I144" s="66">
        <f t="shared" si="33"/>
        <v>204</v>
      </c>
      <c r="J144" s="112">
        <f t="shared" si="34"/>
        <v>0</v>
      </c>
      <c r="K144" s="71"/>
    </row>
    <row r="145" spans="1:11">
      <c r="A145" s="106" t="s">
        <v>30</v>
      </c>
      <c r="B145" s="94">
        <v>40481</v>
      </c>
      <c r="C145" s="63">
        <v>80.5</v>
      </c>
      <c r="D145" s="63"/>
      <c r="E145" s="68">
        <f t="shared" si="35"/>
        <v>80.5</v>
      </c>
      <c r="F145" s="63">
        <v>45</v>
      </c>
      <c r="G145" s="63"/>
      <c r="H145" s="63">
        <v>35.5</v>
      </c>
      <c r="I145" s="68">
        <f t="shared" si="33"/>
        <v>80.5</v>
      </c>
      <c r="J145" s="113">
        <f t="shared" si="34"/>
        <v>0</v>
      </c>
      <c r="K145" s="104">
        <f>SUM(I140:I145)</f>
        <v>625.5</v>
      </c>
    </row>
    <row r="146" spans="1:11" ht="15" thickBot="1">
      <c r="A146" s="80" t="s">
        <v>9</v>
      </c>
      <c r="B146" s="117" t="str">
        <f>A122</f>
        <v>OCTOBRE</v>
      </c>
      <c r="C146" s="101">
        <f>SUM(C123:C145)</f>
        <v>2543.5</v>
      </c>
      <c r="D146" s="101">
        <f t="shared" ref="D146:I146" si="36">SUM(D123:D145)</f>
        <v>50.7</v>
      </c>
      <c r="E146" s="103">
        <f t="shared" si="36"/>
        <v>2594.1999999999998</v>
      </c>
      <c r="F146" s="119">
        <f t="shared" si="36"/>
        <v>517.29999999999995</v>
      </c>
      <c r="G146" s="82">
        <f t="shared" si="36"/>
        <v>892</v>
      </c>
      <c r="H146" s="120">
        <f t="shared" si="36"/>
        <v>1184.9000000000001</v>
      </c>
      <c r="I146" s="103">
        <f t="shared" si="36"/>
        <v>2594.1999999999998</v>
      </c>
      <c r="J146" s="121">
        <f t="shared" ref="J146:K146" si="37">SUM(J124:J145)</f>
        <v>0</v>
      </c>
      <c r="K146" s="103">
        <f t="shared" si="37"/>
        <v>2594.1999999999998</v>
      </c>
    </row>
    <row r="147" spans="1:11" ht="15" thickBot="1">
      <c r="A147" s="52"/>
      <c r="B147" s="53"/>
      <c r="C147" s="122"/>
      <c r="D147" s="122"/>
      <c r="E147" s="123"/>
      <c r="F147" s="123"/>
      <c r="G147" s="122"/>
      <c r="H147" s="122"/>
      <c r="I147" s="123"/>
      <c r="J147" s="124"/>
      <c r="K147" s="123"/>
    </row>
    <row r="148" spans="1:11" ht="18">
      <c r="A148" s="138" t="s">
        <v>25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40"/>
    </row>
    <row r="149" spans="1:11">
      <c r="A149" s="97" t="s">
        <v>31</v>
      </c>
      <c r="B149" s="85">
        <v>40484</v>
      </c>
      <c r="C149" s="44"/>
      <c r="D149" s="44"/>
      <c r="E149" s="66">
        <f>C149+D149</f>
        <v>0</v>
      </c>
      <c r="F149" s="44"/>
      <c r="G149" s="44"/>
      <c r="H149" s="44"/>
      <c r="I149" s="66">
        <f>SUM(F149:H149)</f>
        <v>0</v>
      </c>
      <c r="J149" s="70">
        <f t="shared" ref="J149:J169" si="38">E149-I149</f>
        <v>0</v>
      </c>
      <c r="K149" s="71"/>
    </row>
    <row r="150" spans="1:11">
      <c r="A150" s="97" t="s">
        <v>32</v>
      </c>
      <c r="B150" s="85">
        <v>40485</v>
      </c>
      <c r="C150" s="44"/>
      <c r="D150" s="44"/>
      <c r="E150" s="66">
        <f t="shared" ref="E150:E153" si="39">C150+D150</f>
        <v>0</v>
      </c>
      <c r="F150" s="44"/>
      <c r="G150" s="44"/>
      <c r="H150" s="44"/>
      <c r="I150" s="66">
        <f t="shared" ref="I150:I153" si="40">SUM(F150:H150)</f>
        <v>0</v>
      </c>
      <c r="J150" s="70">
        <f t="shared" si="38"/>
        <v>0</v>
      </c>
      <c r="K150" s="71">
        <f>SUM(I149:I150)</f>
        <v>0</v>
      </c>
    </row>
    <row r="151" spans="1:11">
      <c r="A151" s="97" t="s">
        <v>33</v>
      </c>
      <c r="B151" s="85">
        <v>40486</v>
      </c>
      <c r="C151" s="64"/>
      <c r="D151" s="65"/>
      <c r="E151" s="66">
        <f t="shared" si="39"/>
        <v>0</v>
      </c>
      <c r="F151" s="64"/>
      <c r="G151" s="44"/>
      <c r="H151" s="65"/>
      <c r="I151" s="66">
        <f t="shared" si="40"/>
        <v>0</v>
      </c>
      <c r="J151" s="125">
        <f t="shared" si="38"/>
        <v>0</v>
      </c>
      <c r="K151" s="71"/>
    </row>
    <row r="152" spans="1:11">
      <c r="A152" s="97" t="s">
        <v>29</v>
      </c>
      <c r="B152" s="85">
        <v>40487</v>
      </c>
      <c r="C152" s="44"/>
      <c r="D152" s="44"/>
      <c r="E152" s="66">
        <f t="shared" si="39"/>
        <v>0</v>
      </c>
      <c r="F152" s="44"/>
      <c r="G152" s="44"/>
      <c r="H152" s="44"/>
      <c r="I152" s="66">
        <f t="shared" si="40"/>
        <v>0</v>
      </c>
      <c r="J152" s="70">
        <f t="shared" si="38"/>
        <v>0</v>
      </c>
      <c r="K152" s="71"/>
    </row>
    <row r="153" spans="1:11">
      <c r="A153" s="106" t="s">
        <v>30</v>
      </c>
      <c r="B153" s="94">
        <v>40488</v>
      </c>
      <c r="C153" s="49"/>
      <c r="D153" s="49"/>
      <c r="E153" s="68">
        <f t="shared" si="39"/>
        <v>0</v>
      </c>
      <c r="F153" s="49"/>
      <c r="G153" s="49"/>
      <c r="H153" s="49"/>
      <c r="I153" s="68">
        <f t="shared" si="40"/>
        <v>0</v>
      </c>
      <c r="J153" s="74">
        <f t="shared" si="38"/>
        <v>0</v>
      </c>
      <c r="K153" s="104">
        <f>SUM(I149:I153)</f>
        <v>0</v>
      </c>
    </row>
    <row r="154" spans="1:11">
      <c r="A154" s="97" t="s">
        <v>31</v>
      </c>
      <c r="B154" s="85">
        <v>40491</v>
      </c>
      <c r="C154" s="44"/>
      <c r="D154" s="44"/>
      <c r="E154" s="66">
        <f>C154+D154</f>
        <v>0</v>
      </c>
      <c r="F154" s="44"/>
      <c r="G154" s="44"/>
      <c r="H154" s="44"/>
      <c r="I154" s="66">
        <f>SUM(F154:H154)</f>
        <v>0</v>
      </c>
      <c r="J154" s="70">
        <f t="shared" si="38"/>
        <v>0</v>
      </c>
      <c r="K154" s="71"/>
    </row>
    <row r="155" spans="1:11">
      <c r="A155" s="97" t="s">
        <v>32</v>
      </c>
      <c r="B155" s="85">
        <v>40492</v>
      </c>
      <c r="C155" s="44"/>
      <c r="D155" s="65"/>
      <c r="E155" s="66">
        <f t="shared" ref="E155:E158" si="41">C155+D155</f>
        <v>0</v>
      </c>
      <c r="F155" s="44"/>
      <c r="G155" s="44"/>
      <c r="H155" s="44"/>
      <c r="I155" s="66">
        <f t="shared" ref="I155:I158" si="42">SUM(F155:H155)</f>
        <v>0</v>
      </c>
      <c r="J155" s="70">
        <f t="shared" si="38"/>
        <v>0</v>
      </c>
      <c r="K155" s="71"/>
    </row>
    <row r="156" spans="1:11">
      <c r="A156" s="97" t="s">
        <v>33</v>
      </c>
      <c r="B156" s="85">
        <v>40493</v>
      </c>
      <c r="C156" s="64"/>
      <c r="D156" s="44"/>
      <c r="E156" s="66">
        <f t="shared" si="41"/>
        <v>0</v>
      </c>
      <c r="F156" s="64"/>
      <c r="G156" s="44"/>
      <c r="H156" s="65"/>
      <c r="I156" s="66">
        <f t="shared" si="42"/>
        <v>0</v>
      </c>
      <c r="J156" s="125">
        <f t="shared" si="38"/>
        <v>0</v>
      </c>
      <c r="K156" s="71">
        <f t="shared" ref="K156:K167" si="43">SUM(I152:I156)</f>
        <v>0</v>
      </c>
    </row>
    <row r="157" spans="1:11">
      <c r="A157" s="97" t="s">
        <v>29</v>
      </c>
      <c r="B157" s="85">
        <v>40494</v>
      </c>
      <c r="C157" s="44"/>
      <c r="D157" s="44"/>
      <c r="E157" s="66">
        <f t="shared" si="41"/>
        <v>0</v>
      </c>
      <c r="F157" s="44"/>
      <c r="G157" s="44"/>
      <c r="H157" s="44"/>
      <c r="I157" s="66">
        <f t="shared" si="42"/>
        <v>0</v>
      </c>
      <c r="J157" s="70">
        <f t="shared" si="38"/>
        <v>0</v>
      </c>
      <c r="K157" s="71">
        <f t="shared" si="43"/>
        <v>0</v>
      </c>
    </row>
    <row r="158" spans="1:11">
      <c r="A158" s="106" t="s">
        <v>30</v>
      </c>
      <c r="B158" s="94">
        <v>40495</v>
      </c>
      <c r="C158" s="49"/>
      <c r="D158" s="49"/>
      <c r="E158" s="68">
        <f t="shared" si="41"/>
        <v>0</v>
      </c>
      <c r="F158" s="49"/>
      <c r="G158" s="49"/>
      <c r="H158" s="49"/>
      <c r="I158" s="68">
        <f t="shared" si="42"/>
        <v>0</v>
      </c>
      <c r="J158" s="74">
        <f t="shared" si="38"/>
        <v>0</v>
      </c>
      <c r="K158" s="104">
        <f>SUM(I154:I158)</f>
        <v>0</v>
      </c>
    </row>
    <row r="159" spans="1:11">
      <c r="A159" s="97" t="s">
        <v>31</v>
      </c>
      <c r="B159" s="85">
        <v>40498</v>
      </c>
      <c r="C159" s="44"/>
      <c r="D159" s="44"/>
      <c r="E159" s="66">
        <f>C159+D159</f>
        <v>0</v>
      </c>
      <c r="F159" s="44"/>
      <c r="G159" s="123"/>
      <c r="H159" s="44"/>
      <c r="I159" s="66">
        <f t="shared" ref="I159:I160" si="44">SUM(F159:H159)</f>
        <v>0</v>
      </c>
      <c r="J159" s="70">
        <f t="shared" si="38"/>
        <v>0</v>
      </c>
      <c r="K159" s="71">
        <f t="shared" si="43"/>
        <v>0</v>
      </c>
    </row>
    <row r="160" spans="1:11">
      <c r="A160" s="97" t="s">
        <v>32</v>
      </c>
      <c r="B160" s="85">
        <v>40499</v>
      </c>
      <c r="C160" s="44"/>
      <c r="D160" s="44"/>
      <c r="E160" s="66">
        <f t="shared" ref="E160:E163" si="45">C160+D160</f>
        <v>0</v>
      </c>
      <c r="F160" s="44"/>
      <c r="G160" s="44"/>
      <c r="H160" s="44"/>
      <c r="I160" s="66">
        <f t="shared" si="44"/>
        <v>0</v>
      </c>
      <c r="J160" s="70">
        <f t="shared" si="38"/>
        <v>0</v>
      </c>
      <c r="K160" s="71"/>
    </row>
    <row r="161" spans="1:11">
      <c r="A161" s="97" t="s">
        <v>33</v>
      </c>
      <c r="B161" s="85">
        <v>40500</v>
      </c>
      <c r="C161" s="64"/>
      <c r="D161" s="65"/>
      <c r="E161" s="66">
        <f t="shared" si="45"/>
        <v>0</v>
      </c>
      <c r="F161" s="64"/>
      <c r="G161" s="44"/>
      <c r="H161" s="65"/>
      <c r="I161" s="66">
        <f t="shared" ref="I161:I169" si="46">SUM(F161:H161)</f>
        <v>0</v>
      </c>
      <c r="J161" s="125">
        <f t="shared" si="38"/>
        <v>0</v>
      </c>
      <c r="K161" s="71">
        <f t="shared" si="43"/>
        <v>0</v>
      </c>
    </row>
    <row r="162" spans="1:11">
      <c r="A162" s="97" t="s">
        <v>29</v>
      </c>
      <c r="B162" s="85">
        <v>40501</v>
      </c>
      <c r="C162" s="44"/>
      <c r="D162" s="44"/>
      <c r="E162" s="66">
        <f t="shared" si="45"/>
        <v>0</v>
      </c>
      <c r="F162" s="44"/>
      <c r="G162" s="44"/>
      <c r="H162" s="44"/>
      <c r="I162" s="66">
        <f t="shared" si="46"/>
        <v>0</v>
      </c>
      <c r="J162" s="70">
        <f t="shared" si="38"/>
        <v>0</v>
      </c>
      <c r="K162" s="71">
        <f t="shared" si="43"/>
        <v>0</v>
      </c>
    </row>
    <row r="163" spans="1:11">
      <c r="A163" s="106" t="s">
        <v>30</v>
      </c>
      <c r="B163" s="94">
        <v>40502</v>
      </c>
      <c r="C163" s="49"/>
      <c r="D163" s="49"/>
      <c r="E163" s="68">
        <f t="shared" si="45"/>
        <v>0</v>
      </c>
      <c r="F163" s="49"/>
      <c r="G163" s="49"/>
      <c r="H163" s="49"/>
      <c r="I163" s="68">
        <f t="shared" si="46"/>
        <v>0</v>
      </c>
      <c r="J163" s="74">
        <f t="shared" si="38"/>
        <v>0</v>
      </c>
      <c r="K163" s="104">
        <f>SUM(I159:I163)</f>
        <v>0</v>
      </c>
    </row>
    <row r="164" spans="1:11">
      <c r="A164" s="97" t="s">
        <v>31</v>
      </c>
      <c r="B164" s="85">
        <v>40505</v>
      </c>
      <c r="C164" s="44"/>
      <c r="D164" s="44"/>
      <c r="E164" s="66">
        <f>C164+D164</f>
        <v>0</v>
      </c>
      <c r="F164" s="44"/>
      <c r="G164" s="44"/>
      <c r="H164" s="44"/>
      <c r="I164" s="66">
        <f t="shared" si="46"/>
        <v>0</v>
      </c>
      <c r="J164" s="70">
        <f t="shared" si="38"/>
        <v>0</v>
      </c>
      <c r="K164" s="71">
        <f t="shared" si="43"/>
        <v>0</v>
      </c>
    </row>
    <row r="165" spans="1:11">
      <c r="A165" s="97" t="s">
        <v>32</v>
      </c>
      <c r="B165" s="85">
        <v>40506</v>
      </c>
      <c r="C165" s="44"/>
      <c r="D165" s="44"/>
      <c r="E165" s="66">
        <f t="shared" ref="E165:E169" si="47">C165+D165</f>
        <v>0</v>
      </c>
      <c r="F165" s="44"/>
      <c r="G165" s="44"/>
      <c r="H165" s="44"/>
      <c r="I165" s="66">
        <f t="shared" si="46"/>
        <v>0</v>
      </c>
      <c r="J165" s="70">
        <f t="shared" si="38"/>
        <v>0</v>
      </c>
      <c r="K165" s="71"/>
    </row>
    <row r="166" spans="1:11">
      <c r="A166" s="97" t="s">
        <v>33</v>
      </c>
      <c r="B166" s="85">
        <v>40507</v>
      </c>
      <c r="C166" s="64"/>
      <c r="D166" s="65"/>
      <c r="E166" s="66">
        <f t="shared" si="47"/>
        <v>0</v>
      </c>
      <c r="F166" s="64"/>
      <c r="G166" s="44"/>
      <c r="H166" s="65"/>
      <c r="I166" s="66">
        <f t="shared" si="46"/>
        <v>0</v>
      </c>
      <c r="J166" s="125">
        <f t="shared" si="38"/>
        <v>0</v>
      </c>
      <c r="K166" s="71">
        <f t="shared" si="43"/>
        <v>0</v>
      </c>
    </row>
    <row r="167" spans="1:11">
      <c r="A167" s="97" t="s">
        <v>29</v>
      </c>
      <c r="B167" s="85">
        <v>40508</v>
      </c>
      <c r="C167" s="44"/>
      <c r="D167" s="44"/>
      <c r="E167" s="66">
        <f t="shared" si="47"/>
        <v>0</v>
      </c>
      <c r="F167" s="44"/>
      <c r="G167" s="44"/>
      <c r="H167" s="44"/>
      <c r="I167" s="66">
        <f t="shared" si="46"/>
        <v>0</v>
      </c>
      <c r="J167" s="70">
        <f t="shared" si="38"/>
        <v>0</v>
      </c>
      <c r="K167" s="71">
        <f t="shared" si="43"/>
        <v>0</v>
      </c>
    </row>
    <row r="168" spans="1:11">
      <c r="A168" s="106" t="s">
        <v>30</v>
      </c>
      <c r="B168" s="94">
        <v>40509</v>
      </c>
      <c r="C168" s="63"/>
      <c r="D168" s="63"/>
      <c r="E168" s="68">
        <f t="shared" si="47"/>
        <v>0</v>
      </c>
      <c r="F168" s="63"/>
      <c r="G168" s="63"/>
      <c r="H168" s="63"/>
      <c r="I168" s="68">
        <f t="shared" si="46"/>
        <v>0</v>
      </c>
      <c r="J168" s="113">
        <f t="shared" si="38"/>
        <v>0</v>
      </c>
      <c r="K168" s="104">
        <f>SUM(I164:I168)</f>
        <v>0</v>
      </c>
    </row>
    <row r="169" spans="1:11">
      <c r="A169" s="106" t="s">
        <v>31</v>
      </c>
      <c r="B169" s="85">
        <v>40512</v>
      </c>
      <c r="C169" s="62"/>
      <c r="D169" s="62"/>
      <c r="E169" s="66">
        <f t="shared" si="47"/>
        <v>0</v>
      </c>
      <c r="F169" s="62"/>
      <c r="G169" s="62"/>
      <c r="H169" s="62"/>
      <c r="I169" s="66">
        <f t="shared" si="46"/>
        <v>0</v>
      </c>
      <c r="J169" s="112">
        <f t="shared" si="38"/>
        <v>0</v>
      </c>
      <c r="K169" s="104">
        <f>I169</f>
        <v>0</v>
      </c>
    </row>
    <row r="170" spans="1:11" ht="15" thickBot="1">
      <c r="A170" s="80" t="s">
        <v>9</v>
      </c>
      <c r="B170" s="117" t="str">
        <f>A148</f>
        <v>NOVEMBRE</v>
      </c>
      <c r="C170" s="101">
        <f>SUM(C149:C169)</f>
        <v>0</v>
      </c>
      <c r="D170" s="101">
        <f t="shared" ref="D170:I170" si="48">SUM(D149:D169)</f>
        <v>0</v>
      </c>
      <c r="E170" s="103">
        <f t="shared" si="48"/>
        <v>0</v>
      </c>
      <c r="F170" s="101">
        <f t="shared" si="48"/>
        <v>0</v>
      </c>
      <c r="G170" s="101">
        <f t="shared" si="48"/>
        <v>0</v>
      </c>
      <c r="H170" s="101">
        <f t="shared" si="48"/>
        <v>0</v>
      </c>
      <c r="I170" s="103">
        <f t="shared" si="48"/>
        <v>0</v>
      </c>
      <c r="J170" s="78">
        <f>I170-E170</f>
        <v>0</v>
      </c>
      <c r="K170" s="102">
        <f>I170</f>
        <v>0</v>
      </c>
    </row>
    <row r="171" spans="1:11" ht="15" thickBot="1">
      <c r="A171" s="31"/>
      <c r="B171" s="38"/>
      <c r="C171" s="37"/>
      <c r="D171" s="37"/>
      <c r="E171" s="37"/>
      <c r="F171" s="37"/>
      <c r="G171" s="37"/>
      <c r="H171" s="37"/>
      <c r="I171" s="37"/>
      <c r="J171" s="39"/>
      <c r="K171" s="37"/>
    </row>
    <row r="172" spans="1:11" ht="18">
      <c r="A172" s="138" t="s">
        <v>26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140"/>
    </row>
    <row r="173" spans="1:11">
      <c r="A173" s="97" t="s">
        <v>32</v>
      </c>
      <c r="B173" s="85">
        <v>40513</v>
      </c>
      <c r="C173" s="44"/>
      <c r="D173" s="44"/>
      <c r="E173" s="66">
        <f>C173+D173</f>
        <v>0</v>
      </c>
      <c r="F173" s="44"/>
      <c r="G173" s="44"/>
      <c r="H173" s="44"/>
      <c r="I173" s="66">
        <f t="shared" ref="I173" si="49">SUM(F173:H173)</f>
        <v>0</v>
      </c>
      <c r="J173" s="70">
        <f t="shared" ref="J173:J195" si="50">E173-I173</f>
        <v>0</v>
      </c>
      <c r="K173" s="71"/>
    </row>
    <row r="174" spans="1:11">
      <c r="A174" s="97" t="s">
        <v>33</v>
      </c>
      <c r="B174" s="85">
        <v>40514</v>
      </c>
      <c r="C174" s="64"/>
      <c r="D174" s="65"/>
      <c r="E174" s="66">
        <f t="shared" ref="E174:E195" si="51">C174+D174</f>
        <v>0</v>
      </c>
      <c r="F174" s="44"/>
      <c r="G174" s="44"/>
      <c r="H174" s="44"/>
      <c r="I174" s="66">
        <v>0</v>
      </c>
      <c r="J174" s="70">
        <f t="shared" si="50"/>
        <v>0</v>
      </c>
      <c r="K174" s="71"/>
    </row>
    <row r="175" spans="1:11">
      <c r="A175" s="97" t="s">
        <v>29</v>
      </c>
      <c r="B175" s="85">
        <v>40515</v>
      </c>
      <c r="C175" s="44"/>
      <c r="D175" s="44"/>
      <c r="E175" s="66">
        <f t="shared" si="51"/>
        <v>0</v>
      </c>
      <c r="F175" s="64"/>
      <c r="G175" s="44"/>
      <c r="H175" s="65"/>
      <c r="I175" s="66">
        <f t="shared" ref="I175:I184" si="52">SUM(F175:H175)</f>
        <v>0</v>
      </c>
      <c r="J175" s="125">
        <f t="shared" si="50"/>
        <v>0</v>
      </c>
      <c r="K175" s="71"/>
    </row>
    <row r="176" spans="1:11">
      <c r="A176" s="106" t="s">
        <v>30</v>
      </c>
      <c r="B176" s="92">
        <v>40516</v>
      </c>
      <c r="C176" s="60"/>
      <c r="D176" s="60"/>
      <c r="E176" s="76">
        <f t="shared" si="51"/>
        <v>0</v>
      </c>
      <c r="F176" s="60"/>
      <c r="G176" s="60"/>
      <c r="H176" s="60"/>
      <c r="I176" s="76">
        <f t="shared" si="52"/>
        <v>0</v>
      </c>
      <c r="J176" s="74">
        <f t="shared" si="50"/>
        <v>0</v>
      </c>
      <c r="K176" s="104">
        <f>SUM(I173:I176)</f>
        <v>0</v>
      </c>
    </row>
    <row r="177" spans="1:11">
      <c r="A177" s="97" t="s">
        <v>31</v>
      </c>
      <c r="B177" s="85">
        <v>40519</v>
      </c>
      <c r="C177" s="44"/>
      <c r="D177" s="44"/>
      <c r="E177" s="66">
        <f t="shared" si="51"/>
        <v>0</v>
      </c>
      <c r="F177" s="44"/>
      <c r="G177" s="44"/>
      <c r="H177" s="44"/>
      <c r="I177" s="66">
        <f t="shared" si="52"/>
        <v>0</v>
      </c>
      <c r="J177" s="70">
        <f t="shared" si="50"/>
        <v>0</v>
      </c>
      <c r="K177" s="71"/>
    </row>
    <row r="178" spans="1:11">
      <c r="A178" s="97" t="s">
        <v>32</v>
      </c>
      <c r="B178" s="85">
        <v>40520</v>
      </c>
      <c r="C178" s="44"/>
      <c r="D178" s="44"/>
      <c r="E178" s="66">
        <f t="shared" si="51"/>
        <v>0</v>
      </c>
      <c r="F178" s="44"/>
      <c r="G178" s="44"/>
      <c r="H178" s="44"/>
      <c r="I178" s="66">
        <f t="shared" si="52"/>
        <v>0</v>
      </c>
      <c r="J178" s="70">
        <f t="shared" si="50"/>
        <v>0</v>
      </c>
      <c r="K178" s="71"/>
    </row>
    <row r="179" spans="1:11">
      <c r="A179" s="97" t="s">
        <v>33</v>
      </c>
      <c r="B179" s="85">
        <v>40521</v>
      </c>
      <c r="C179" s="64"/>
      <c r="D179" s="44"/>
      <c r="E179" s="66">
        <f t="shared" si="51"/>
        <v>0</v>
      </c>
      <c r="F179" s="44"/>
      <c r="G179" s="44"/>
      <c r="H179" s="44"/>
      <c r="I179" s="118">
        <f t="shared" si="52"/>
        <v>0</v>
      </c>
      <c r="J179" s="70">
        <f t="shared" si="50"/>
        <v>0</v>
      </c>
      <c r="K179" s="71"/>
    </row>
    <row r="180" spans="1:11">
      <c r="A180" s="97" t="s">
        <v>29</v>
      </c>
      <c r="B180" s="85">
        <v>40522</v>
      </c>
      <c r="C180" s="44"/>
      <c r="D180" s="65"/>
      <c r="E180" s="66">
        <f t="shared" si="51"/>
        <v>0</v>
      </c>
      <c r="F180" s="64"/>
      <c r="G180" s="44"/>
      <c r="H180" s="65"/>
      <c r="I180" s="66">
        <f t="shared" si="52"/>
        <v>0</v>
      </c>
      <c r="J180" s="125">
        <f t="shared" si="50"/>
        <v>0</v>
      </c>
      <c r="K180" s="71">
        <f t="shared" ref="K180:K193" si="53">SUM(I176:I180)</f>
        <v>0</v>
      </c>
    </row>
    <row r="181" spans="1:11">
      <c r="A181" s="106" t="s">
        <v>30</v>
      </c>
      <c r="B181" s="94">
        <v>40523</v>
      </c>
      <c r="C181" s="49"/>
      <c r="D181" s="49"/>
      <c r="E181" s="68">
        <f t="shared" si="51"/>
        <v>0</v>
      </c>
      <c r="F181" s="49"/>
      <c r="G181" s="49"/>
      <c r="H181" s="49"/>
      <c r="I181" s="68">
        <f t="shared" si="52"/>
        <v>0</v>
      </c>
      <c r="J181" s="74">
        <f t="shared" si="50"/>
        <v>0</v>
      </c>
      <c r="K181" s="104">
        <f>SUM(I177:I181)</f>
        <v>0</v>
      </c>
    </row>
    <row r="182" spans="1:11">
      <c r="A182" s="97" t="s">
        <v>31</v>
      </c>
      <c r="B182" s="85">
        <v>40526</v>
      </c>
      <c r="C182" s="44"/>
      <c r="D182" s="44"/>
      <c r="E182" s="66">
        <f t="shared" si="51"/>
        <v>0</v>
      </c>
      <c r="F182" s="44"/>
      <c r="G182" s="44"/>
      <c r="H182" s="44"/>
      <c r="I182" s="66">
        <f t="shared" si="52"/>
        <v>0</v>
      </c>
      <c r="J182" s="70">
        <f t="shared" si="50"/>
        <v>0</v>
      </c>
      <c r="K182" s="71">
        <f t="shared" si="53"/>
        <v>0</v>
      </c>
    </row>
    <row r="183" spans="1:11">
      <c r="A183" s="97" t="s">
        <v>32</v>
      </c>
      <c r="B183" s="85">
        <v>40527</v>
      </c>
      <c r="C183" s="44"/>
      <c r="D183" s="44"/>
      <c r="E183" s="66">
        <f t="shared" si="51"/>
        <v>0</v>
      </c>
      <c r="F183" s="44"/>
      <c r="G183" s="44"/>
      <c r="H183" s="44"/>
      <c r="I183" s="66">
        <f t="shared" si="52"/>
        <v>0</v>
      </c>
      <c r="J183" s="70">
        <f t="shared" si="50"/>
        <v>0</v>
      </c>
      <c r="K183" s="71">
        <f t="shared" si="53"/>
        <v>0</v>
      </c>
    </row>
    <row r="184" spans="1:11">
      <c r="A184" s="97" t="s">
        <v>33</v>
      </c>
      <c r="B184" s="85">
        <v>40528</v>
      </c>
      <c r="C184" s="64"/>
      <c r="D184" s="65"/>
      <c r="E184" s="66">
        <f t="shared" si="51"/>
        <v>0</v>
      </c>
      <c r="F184" s="44"/>
      <c r="G184" s="44"/>
      <c r="H184" s="44"/>
      <c r="I184" s="66">
        <f t="shared" si="52"/>
        <v>0</v>
      </c>
      <c r="J184" s="125">
        <f t="shared" si="50"/>
        <v>0</v>
      </c>
      <c r="K184" s="71"/>
    </row>
    <row r="185" spans="1:11">
      <c r="A185" s="97" t="s">
        <v>29</v>
      </c>
      <c r="B185" s="85">
        <v>40529</v>
      </c>
      <c r="C185" s="44"/>
      <c r="D185" s="44"/>
      <c r="E185" s="66">
        <f t="shared" si="51"/>
        <v>0</v>
      </c>
      <c r="F185" s="64"/>
      <c r="G185" s="44"/>
      <c r="H185" s="65"/>
      <c r="I185" s="66">
        <f t="shared" ref="I185:I195" si="54">SUM(F185:H185)</f>
        <v>0</v>
      </c>
      <c r="J185" s="70">
        <f t="shared" si="50"/>
        <v>0</v>
      </c>
      <c r="K185" s="71">
        <f t="shared" si="53"/>
        <v>0</v>
      </c>
    </row>
    <row r="186" spans="1:11">
      <c r="A186" s="106" t="s">
        <v>30</v>
      </c>
      <c r="B186" s="94">
        <v>40530</v>
      </c>
      <c r="C186" s="49"/>
      <c r="D186" s="49"/>
      <c r="E186" s="68">
        <f t="shared" si="51"/>
        <v>0</v>
      </c>
      <c r="F186" s="49"/>
      <c r="G186" s="49"/>
      <c r="H186" s="49"/>
      <c r="I186" s="68">
        <f t="shared" si="54"/>
        <v>0</v>
      </c>
      <c r="J186" s="74">
        <f t="shared" si="50"/>
        <v>0</v>
      </c>
      <c r="K186" s="104">
        <f>SUM(I182:I186)</f>
        <v>0</v>
      </c>
    </row>
    <row r="187" spans="1:11">
      <c r="A187" s="97" t="s">
        <v>31</v>
      </c>
      <c r="B187" s="85">
        <v>40533</v>
      </c>
      <c r="C187" s="44"/>
      <c r="D187" s="44"/>
      <c r="E187" s="66">
        <f t="shared" si="51"/>
        <v>0</v>
      </c>
      <c r="F187" s="44"/>
      <c r="G187" s="44"/>
      <c r="H187" s="44"/>
      <c r="I187" s="66">
        <f t="shared" si="54"/>
        <v>0</v>
      </c>
      <c r="J187" s="70">
        <f t="shared" si="50"/>
        <v>0</v>
      </c>
      <c r="K187" s="71">
        <f t="shared" si="53"/>
        <v>0</v>
      </c>
    </row>
    <row r="188" spans="1:11">
      <c r="A188" s="97" t="s">
        <v>32</v>
      </c>
      <c r="B188" s="85">
        <v>40534</v>
      </c>
      <c r="C188" s="44"/>
      <c r="D188" s="44"/>
      <c r="E188" s="66">
        <f t="shared" si="51"/>
        <v>0</v>
      </c>
      <c r="F188" s="44"/>
      <c r="G188" s="44"/>
      <c r="H188" s="44"/>
      <c r="I188" s="66">
        <f t="shared" si="54"/>
        <v>0</v>
      </c>
      <c r="J188" s="70">
        <f t="shared" si="50"/>
        <v>0</v>
      </c>
      <c r="K188" s="71">
        <f t="shared" si="53"/>
        <v>0</v>
      </c>
    </row>
    <row r="189" spans="1:11">
      <c r="A189" s="97" t="s">
        <v>33</v>
      </c>
      <c r="B189" s="85">
        <v>40535</v>
      </c>
      <c r="C189" s="44"/>
      <c r="D189" s="44"/>
      <c r="E189" s="66">
        <f t="shared" si="51"/>
        <v>0</v>
      </c>
      <c r="F189" s="44"/>
      <c r="G189" s="44"/>
      <c r="H189" s="44"/>
      <c r="I189" s="66">
        <f t="shared" si="54"/>
        <v>0</v>
      </c>
      <c r="J189" s="70">
        <f t="shared" si="50"/>
        <v>0</v>
      </c>
      <c r="K189" s="71"/>
    </row>
    <row r="190" spans="1:11">
      <c r="A190" s="97" t="s">
        <v>29</v>
      </c>
      <c r="B190" s="85">
        <v>40536</v>
      </c>
      <c r="C190" s="64"/>
      <c r="D190" s="65"/>
      <c r="E190" s="66">
        <f t="shared" si="51"/>
        <v>0</v>
      </c>
      <c r="F190" s="64"/>
      <c r="G190" s="44"/>
      <c r="H190" s="65"/>
      <c r="I190" s="66">
        <f t="shared" si="54"/>
        <v>0</v>
      </c>
      <c r="J190" s="125">
        <f t="shared" si="50"/>
        <v>0</v>
      </c>
      <c r="K190" s="71">
        <f t="shared" si="53"/>
        <v>0</v>
      </c>
    </row>
    <row r="191" spans="1:11">
      <c r="A191" s="106" t="s">
        <v>30</v>
      </c>
      <c r="B191" s="94">
        <v>40537</v>
      </c>
      <c r="C191" s="49"/>
      <c r="D191" s="49"/>
      <c r="E191" s="68">
        <f t="shared" si="51"/>
        <v>0</v>
      </c>
      <c r="F191" s="49"/>
      <c r="G191" s="49"/>
      <c r="H191" s="49"/>
      <c r="I191" s="68">
        <f t="shared" si="54"/>
        <v>0</v>
      </c>
      <c r="J191" s="74">
        <f t="shared" si="50"/>
        <v>0</v>
      </c>
      <c r="K191" s="104">
        <f>SUM(I187:I191)</f>
        <v>0</v>
      </c>
    </row>
    <row r="192" spans="1:11">
      <c r="A192" s="97" t="s">
        <v>31</v>
      </c>
      <c r="B192" s="85">
        <v>40540</v>
      </c>
      <c r="C192" s="62"/>
      <c r="D192" s="62"/>
      <c r="E192" s="66">
        <f t="shared" si="51"/>
        <v>0</v>
      </c>
      <c r="F192" s="62"/>
      <c r="G192" s="62"/>
      <c r="H192" s="62"/>
      <c r="I192" s="66">
        <f t="shared" si="54"/>
        <v>0</v>
      </c>
      <c r="J192" s="112">
        <f t="shared" si="50"/>
        <v>0</v>
      </c>
      <c r="K192" s="71">
        <f t="shared" si="53"/>
        <v>0</v>
      </c>
    </row>
    <row r="193" spans="1:11">
      <c r="A193" s="97" t="s">
        <v>32</v>
      </c>
      <c r="B193" s="85">
        <v>40541</v>
      </c>
      <c r="C193" s="62"/>
      <c r="D193" s="62"/>
      <c r="E193" s="66">
        <f t="shared" si="51"/>
        <v>0</v>
      </c>
      <c r="F193" s="62"/>
      <c r="G193" s="62"/>
      <c r="H193" s="62"/>
      <c r="I193" s="66">
        <f t="shared" si="54"/>
        <v>0</v>
      </c>
      <c r="J193" s="112">
        <f t="shared" si="50"/>
        <v>0</v>
      </c>
      <c r="K193" s="71">
        <f t="shared" si="53"/>
        <v>0</v>
      </c>
    </row>
    <row r="194" spans="1:11">
      <c r="A194" s="97" t="s">
        <v>33</v>
      </c>
      <c r="B194" s="85">
        <v>40542</v>
      </c>
      <c r="C194" s="62"/>
      <c r="D194" s="62"/>
      <c r="E194" s="66">
        <f t="shared" si="51"/>
        <v>0</v>
      </c>
      <c r="F194" s="62"/>
      <c r="G194" s="62"/>
      <c r="H194" s="62"/>
      <c r="I194" s="66">
        <f t="shared" si="54"/>
        <v>0</v>
      </c>
      <c r="J194" s="112">
        <f t="shared" si="50"/>
        <v>0</v>
      </c>
      <c r="K194" s="71"/>
    </row>
    <row r="195" spans="1:11">
      <c r="A195" s="106" t="s">
        <v>29</v>
      </c>
      <c r="B195" s="85">
        <v>40543</v>
      </c>
      <c r="C195" s="62"/>
      <c r="D195" s="62"/>
      <c r="E195" s="66">
        <f t="shared" si="51"/>
        <v>0</v>
      </c>
      <c r="F195" s="62"/>
      <c r="G195" s="62"/>
      <c r="H195" s="62"/>
      <c r="I195" s="66">
        <f t="shared" si="54"/>
        <v>0</v>
      </c>
      <c r="J195" s="112">
        <f t="shared" si="50"/>
        <v>0</v>
      </c>
      <c r="K195" s="104">
        <f>SUM(I192:I195)</f>
        <v>0</v>
      </c>
    </row>
    <row r="196" spans="1:11" ht="15" thickBot="1">
      <c r="A196" s="80" t="s">
        <v>9</v>
      </c>
      <c r="B196" s="117" t="str">
        <f>+A172</f>
        <v>DECEMBRE</v>
      </c>
      <c r="C196" s="101">
        <f>SUM(C173:C195)</f>
        <v>0</v>
      </c>
      <c r="D196" s="101">
        <f t="shared" ref="D196:I196" si="55">SUM(D173:D195)</f>
        <v>0</v>
      </c>
      <c r="E196" s="103">
        <f t="shared" si="55"/>
        <v>0</v>
      </c>
      <c r="F196" s="101">
        <f t="shared" si="55"/>
        <v>0</v>
      </c>
      <c r="G196" s="101">
        <f t="shared" si="55"/>
        <v>0</v>
      </c>
      <c r="H196" s="101">
        <f t="shared" si="55"/>
        <v>0</v>
      </c>
      <c r="I196" s="103">
        <f t="shared" si="55"/>
        <v>0</v>
      </c>
      <c r="J196" s="78">
        <f>E196-I196</f>
        <v>0</v>
      </c>
      <c r="K196" s="102">
        <f>I196</f>
        <v>0</v>
      </c>
    </row>
    <row r="197" spans="1:11" ht="15" thickBot="1">
      <c r="A197" s="31"/>
      <c r="B197" s="38"/>
      <c r="C197" s="37"/>
      <c r="D197" s="37"/>
      <c r="E197" s="37"/>
      <c r="F197" s="37"/>
      <c r="G197" s="37"/>
      <c r="H197" s="37"/>
      <c r="I197" s="37"/>
      <c r="J197" s="39"/>
      <c r="K197" s="37"/>
    </row>
    <row r="198" spans="1:11" ht="31.5" customHeight="1" thickBot="1">
      <c r="A198" s="31"/>
      <c r="B198" s="126" t="s">
        <v>35</v>
      </c>
      <c r="C198" s="127">
        <f t="shared" ref="C198:K198" si="56">(SUM(C1:C196))/2</f>
        <v>15426.15</v>
      </c>
      <c r="D198" s="128">
        <f t="shared" si="56"/>
        <v>444.15</v>
      </c>
      <c r="E198" s="129">
        <f t="shared" si="56"/>
        <v>15870.3</v>
      </c>
      <c r="F198" s="127">
        <f t="shared" si="56"/>
        <v>3232.4499999999994</v>
      </c>
      <c r="G198" s="129">
        <f t="shared" si="56"/>
        <v>5846.2000000000007</v>
      </c>
      <c r="H198" s="128">
        <f t="shared" si="56"/>
        <v>6791.6499999999987</v>
      </c>
      <c r="I198" s="129">
        <f t="shared" si="56"/>
        <v>15870.3</v>
      </c>
      <c r="J198" s="130">
        <f t="shared" si="56"/>
        <v>0</v>
      </c>
      <c r="K198" s="128">
        <f t="shared" si="56"/>
        <v>15870.300000000005</v>
      </c>
    </row>
    <row r="199" spans="1:11">
      <c r="A199" s="31"/>
      <c r="B199" s="38"/>
      <c r="C199" s="37"/>
      <c r="D199" s="37"/>
      <c r="E199" s="37"/>
      <c r="F199" s="37"/>
      <c r="G199" s="37"/>
      <c r="H199" s="37"/>
      <c r="I199" s="37"/>
      <c r="J199" s="39"/>
      <c r="K199" s="37"/>
    </row>
    <row r="200" spans="1:11" ht="24.75" customHeight="1">
      <c r="K200" s="4">
        <f>RECAPITULATIF!K11-JOUR!K198</f>
        <v>0</v>
      </c>
    </row>
  </sheetData>
  <sheetProtection password="A3BC" sheet="1" objects="1" scenarios="1"/>
  <mergeCells count="8">
    <mergeCell ref="A122:K122"/>
    <mergeCell ref="A148:K148"/>
    <mergeCell ref="A172:K172"/>
    <mergeCell ref="A72:K72"/>
    <mergeCell ref="A3:K3"/>
    <mergeCell ref="A21:K21"/>
    <mergeCell ref="A46:K46"/>
    <mergeCell ref="A96:K96"/>
  </mergeCells>
  <pageMargins left="0.25" right="0.25" top="0.75" bottom="0.75" header="0.3" footer="0.3"/>
  <headerFooter>
    <oddHeader>&amp;C&amp;"-,Gras"&amp;14&amp;K05+000LUX' HAIR&amp;R&amp;"-,Italique"&amp;10Mise à jour le &amp;D</oddHeader>
    <oddFooter>&amp;C&amp;"-,Gras"&amp;14&amp;K05+000&amp;P / &amp;N</oddFooter>
  </headerFooter>
  <ignoredErrors>
    <ignoredError sqref="E8 E10:E14" emptyCellReference="1"/>
    <ignoredError sqref="I114" formulaRange="1"/>
    <ignoredError sqref="J70 I87" formula="1"/>
    <ignoredError sqref="F52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RECAPITULATIF</vt:lpstr>
      <vt:lpstr>JOUR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Lux' Hair</dc:creator>
  <cp:lastModifiedBy>Marianne</cp:lastModifiedBy>
  <cp:lastPrinted>2010-10-22T15:36:13Z</cp:lastPrinted>
  <dcterms:created xsi:type="dcterms:W3CDTF">2010-05-11T20:33:39Z</dcterms:created>
  <dcterms:modified xsi:type="dcterms:W3CDTF">2010-11-05T20:39:39Z</dcterms:modified>
</cp:coreProperties>
</file>